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105" windowWidth="15195" windowHeight="8700"/>
  </bookViews>
  <sheets>
    <sheet name="Notes" sheetId="6" r:id="rId1"/>
    <sheet name="Tariff Details" sheetId="2" r:id="rId2"/>
    <sheet name="Tariff Comparison" sheetId="1" r:id="rId3"/>
    <sheet name="Power Factor Analysis" sheetId="5" r:id="rId4"/>
  </sheets>
  <definedNames>
    <definedName name="_Order1" hidden="1">255</definedName>
    <definedName name="_Order2" hidden="1">255</definedName>
  </definedNames>
  <calcPr calcId="145621"/>
</workbook>
</file>

<file path=xl/calcChain.xml><?xml version="1.0" encoding="utf-8"?>
<calcChain xmlns="http://schemas.openxmlformats.org/spreadsheetml/2006/main">
  <c r="J22" i="5" l="1"/>
  <c r="K22" i="5" s="1"/>
  <c r="I12" i="5"/>
  <c r="I16" i="5" s="1"/>
  <c r="I11" i="5"/>
  <c r="I15" i="5" s="1"/>
  <c r="I10" i="5"/>
  <c r="I14" i="5"/>
  <c r="I18" i="5" s="1"/>
  <c r="I24" i="5" s="1"/>
  <c r="I28" i="5" s="1"/>
  <c r="I22" i="5"/>
  <c r="D22" i="5"/>
  <c r="B16" i="5"/>
  <c r="B20" i="5"/>
  <c r="B26" i="5" s="1"/>
  <c r="B30" i="5" s="1"/>
  <c r="B15" i="5"/>
  <c r="B25" i="5"/>
  <c r="B19" i="5"/>
  <c r="B14" i="5"/>
  <c r="B18" i="5" s="1"/>
  <c r="J7" i="5"/>
  <c r="J30" i="5" s="1"/>
  <c r="C7" i="5"/>
  <c r="C30" i="5" s="1"/>
  <c r="J6" i="5"/>
  <c r="K6" i="5" s="1"/>
  <c r="J29" i="5"/>
  <c r="C6" i="5"/>
  <c r="D6" i="5"/>
  <c r="J5" i="5"/>
  <c r="K5" i="5" s="1"/>
  <c r="K8" i="5" s="1"/>
  <c r="C5" i="5"/>
  <c r="D5" i="5"/>
  <c r="K7" i="1"/>
  <c r="K23" i="1" s="1"/>
  <c r="K6" i="1"/>
  <c r="K5" i="1"/>
  <c r="K21" i="1" s="1"/>
  <c r="C5" i="1"/>
  <c r="C7" i="1" s="1"/>
  <c r="D7" i="1" s="1"/>
  <c r="C13" i="1"/>
  <c r="C14" i="1" s="1"/>
  <c r="C15" i="1" s="1"/>
  <c r="C16" i="1" s="1"/>
  <c r="C17" i="1" s="1"/>
  <c r="C21" i="2"/>
  <c r="L5" i="1"/>
  <c r="L13" i="1"/>
  <c r="L14" i="1" s="1"/>
  <c r="L15" i="1" s="1"/>
  <c r="L16" i="1" s="1"/>
  <c r="L17" i="1" s="1"/>
  <c r="N21" i="1"/>
  <c r="N22" i="1"/>
  <c r="O22" i="1"/>
  <c r="N23" i="1"/>
  <c r="O23" i="1" s="1"/>
  <c r="N24" i="1"/>
  <c r="O24" i="1"/>
  <c r="N25" i="1"/>
  <c r="O25" i="1" s="1"/>
  <c r="N26" i="1"/>
  <c r="O26" i="1"/>
  <c r="O27" i="1"/>
  <c r="E24" i="1"/>
  <c r="F24" i="1" s="1"/>
  <c r="E25" i="1"/>
  <c r="F25" i="1" s="1"/>
  <c r="E26" i="1"/>
  <c r="F26" i="1" s="1"/>
  <c r="F27" i="1"/>
  <c r="E28" i="1"/>
  <c r="F28" i="1" s="1"/>
  <c r="A38" i="1"/>
  <c r="A37" i="1"/>
  <c r="K22" i="1"/>
  <c r="C7" i="2"/>
  <c r="N28" i="1"/>
  <c r="O28" i="1" s="1"/>
  <c r="C18" i="2"/>
  <c r="C17" i="2"/>
  <c r="B9" i="1"/>
  <c r="K13" i="1" s="1"/>
  <c r="M13" i="1" s="1"/>
  <c r="O13" i="1" s="1"/>
  <c r="B11" i="2"/>
  <c r="E21" i="1"/>
  <c r="F21" i="1"/>
  <c r="B21" i="1"/>
  <c r="B12" i="2"/>
  <c r="E22" i="1"/>
  <c r="F22" i="1"/>
  <c r="B22" i="1"/>
  <c r="B13" i="2"/>
  <c r="E23" i="1"/>
  <c r="F23" i="1" s="1"/>
  <c r="B23" i="1"/>
  <c r="B18" i="2"/>
  <c r="B17" i="2" s="1"/>
  <c r="C29" i="5"/>
  <c r="C28" i="5"/>
  <c r="K16" i="1"/>
  <c r="C6" i="1"/>
  <c r="D6" i="1"/>
  <c r="F6" i="1"/>
  <c r="L7" i="1"/>
  <c r="M7" i="1" s="1"/>
  <c r="O7" i="1" s="1"/>
  <c r="K15" i="1"/>
  <c r="D5" i="1"/>
  <c r="F5" i="1" s="1"/>
  <c r="J28" i="5"/>
  <c r="K14" i="1"/>
  <c r="B29" i="5"/>
  <c r="D29" i="5"/>
  <c r="K17" i="1"/>
  <c r="B13" i="1"/>
  <c r="D13" i="1" s="1"/>
  <c r="F13" i="1" s="1"/>
  <c r="K7" i="5"/>
  <c r="L6" i="1"/>
  <c r="M6" i="1"/>
  <c r="O6" i="1" s="1"/>
  <c r="F7" i="1" l="1"/>
  <c r="D9" i="1"/>
  <c r="I20" i="5"/>
  <c r="I26" i="5" s="1"/>
  <c r="I30" i="5" s="1"/>
  <c r="K30" i="5" s="1"/>
  <c r="M15" i="1"/>
  <c r="O15" i="1" s="1"/>
  <c r="M14" i="1"/>
  <c r="O14" i="1" s="1"/>
  <c r="O19" i="1" s="1"/>
  <c r="M16" i="1"/>
  <c r="O16" i="1" s="1"/>
  <c r="F30" i="1"/>
  <c r="M17" i="1"/>
  <c r="O17" i="1" s="1"/>
  <c r="K28" i="5"/>
  <c r="O21" i="1"/>
  <c r="O30" i="1" s="1"/>
  <c r="D30" i="5"/>
  <c r="I25" i="5"/>
  <c r="I29" i="5" s="1"/>
  <c r="K29" i="5" s="1"/>
  <c r="I19" i="5"/>
  <c r="F9" i="1"/>
  <c r="D7" i="5"/>
  <c r="D8" i="5" s="1"/>
  <c r="B17" i="1"/>
  <c r="D17" i="1" s="1"/>
  <c r="F17" i="1" s="1"/>
  <c r="B16" i="1"/>
  <c r="D16" i="1" s="1"/>
  <c r="F16" i="1" s="1"/>
  <c r="K9" i="1"/>
  <c r="M5" i="1"/>
  <c r="B15" i="1"/>
  <c r="D15" i="1" s="1"/>
  <c r="F15" i="1" s="1"/>
  <c r="B24" i="5"/>
  <c r="B28" i="5" s="1"/>
  <c r="D28" i="5" s="1"/>
  <c r="D31" i="5" s="1"/>
  <c r="B14" i="1"/>
  <c r="D14" i="1" s="1"/>
  <c r="F14" i="1" s="1"/>
  <c r="F19" i="1" s="1"/>
  <c r="D33" i="5" l="1"/>
  <c r="D34" i="5" s="1"/>
  <c r="D35" i="5" s="1"/>
  <c r="F32" i="1"/>
  <c r="K31" i="5"/>
  <c r="K33" i="5" s="1"/>
  <c r="K34" i="5" s="1"/>
  <c r="K35" i="5" s="1"/>
  <c r="O5" i="1"/>
  <c r="O9" i="1" s="1"/>
  <c r="M9" i="1"/>
  <c r="O32" i="1"/>
  <c r="O33" i="1" l="1"/>
  <c r="O34" i="1" s="1"/>
  <c r="B38" i="1" s="1"/>
  <c r="F33" i="1"/>
  <c r="F34" i="1"/>
  <c r="B37" i="1" s="1"/>
  <c r="C38" i="1" l="1"/>
  <c r="D38" i="1" s="1"/>
</calcChain>
</file>

<file path=xl/sharedStrings.xml><?xml version="1.0" encoding="utf-8"?>
<sst xmlns="http://schemas.openxmlformats.org/spreadsheetml/2006/main" count="181" uniqueCount="100">
  <si>
    <t>Energy</t>
  </si>
  <si>
    <t>Peak</t>
  </si>
  <si>
    <t>Shoulder</t>
  </si>
  <si>
    <t>Off Peak</t>
  </si>
  <si>
    <t>kWh</t>
  </si>
  <si>
    <t>Losses</t>
  </si>
  <si>
    <t>Total kWh</t>
  </si>
  <si>
    <t>Unit Price</t>
  </si>
  <si>
    <t>Amount</t>
  </si>
  <si>
    <t>Total</t>
  </si>
  <si>
    <t>Market Participation</t>
  </si>
  <si>
    <t>End User Advocacy Fee</t>
  </si>
  <si>
    <t>Federal Renewable Energy</t>
  </si>
  <si>
    <t>NSW GHG Reduction Charge</t>
  </si>
  <si>
    <t>Network/ Metering</t>
  </si>
  <si>
    <t>Peak Energy</t>
  </si>
  <si>
    <t>Shoulder Energy</t>
  </si>
  <si>
    <t>Off Peak Energy</t>
  </si>
  <si>
    <t>Peak Demand</t>
  </si>
  <si>
    <t>Shoulder Demand</t>
  </si>
  <si>
    <t>Off Peak Demand</t>
  </si>
  <si>
    <t>Meter charges/day</t>
  </si>
  <si>
    <t>Network Access Charge</t>
  </si>
  <si>
    <t>GST</t>
  </si>
  <si>
    <t>Total Due</t>
  </si>
  <si>
    <t>Date</t>
  </si>
  <si>
    <t>Tariff Code</t>
  </si>
  <si>
    <t>Description</t>
  </si>
  <si>
    <t>LV TOU Demand</t>
  </si>
  <si>
    <t>Type</t>
  </si>
  <si>
    <t>Business</t>
  </si>
  <si>
    <t>Location</t>
  </si>
  <si>
    <t>Application</t>
  </si>
  <si>
    <t>Unit Rate</t>
  </si>
  <si>
    <t>Network Access Charge ($/Day)</t>
  </si>
  <si>
    <t>Peak Demand Charge ($/kVA/Month)</t>
  </si>
  <si>
    <t>Shoulder Demand Charge ($/kVA/Month)</t>
  </si>
  <si>
    <t>Off Peak Demand Charge ($/kVA/Month)</t>
  </si>
  <si>
    <t>Energy ($/kWh) Peak</t>
  </si>
  <si>
    <t>Energy ($/kWh) Shoulder</t>
  </si>
  <si>
    <t>Energy ($/kWh) Off Peak</t>
  </si>
  <si>
    <t>Distribution losses</t>
  </si>
  <si>
    <t>Charges</t>
  </si>
  <si>
    <t>Tariff element</t>
  </si>
  <si>
    <t>Negotiable as part of supplier agreement</t>
  </si>
  <si>
    <t>Calculated figure</t>
  </si>
  <si>
    <t>Consumption &amp; peak related</t>
  </si>
  <si>
    <t>preset</t>
  </si>
  <si>
    <t>Key</t>
  </si>
  <si>
    <t>NEMMCO</t>
  </si>
  <si>
    <t>Advocacy Fee ($/kWh)</t>
  </si>
  <si>
    <t>Fee ($/kWh)</t>
  </si>
  <si>
    <t>Ancillary Fee ($/kWh)</t>
  </si>
  <si>
    <t>Tariff:</t>
  </si>
  <si>
    <t>Tariff 1</t>
  </si>
  <si>
    <t>Tariff 2</t>
  </si>
  <si>
    <t>Ensure that uage remains the same, however the network rates will be different for different tariffs.</t>
  </si>
  <si>
    <t>Network area</t>
  </si>
  <si>
    <t>Details from the nework owner as to what applications the tariff is appropriate for.</t>
  </si>
  <si>
    <t>Total Cost</t>
  </si>
  <si>
    <t>Existing Tariff</t>
  </si>
  <si>
    <t>Tariff Option 1</t>
  </si>
  <si>
    <t>Saving</t>
  </si>
  <si>
    <t>% Saving</t>
  </si>
  <si>
    <t>AEMO Ancillary Fee</t>
  </si>
  <si>
    <t>AEMO Fee</t>
  </si>
  <si>
    <t>AEMO Market Dependent</t>
  </si>
  <si>
    <t>Set by AEMO</t>
  </si>
  <si>
    <t>Transmission losses</t>
  </si>
  <si>
    <t>Ensure that usage data is consistent. Distribution losses may vary by tariff, but transmission losses stay the same.</t>
  </si>
  <si>
    <t>The usage and rates will remain consistent, however the loss factors may again vary by tariff. In some cases the only the TFL is applied, so check with your retailer.</t>
  </si>
  <si>
    <t>SAVINGS SUMMARY</t>
  </si>
  <si>
    <t>kVA</t>
  </si>
  <si>
    <t>Power Factor at Peak</t>
  </si>
  <si>
    <t>Power Factor at Shoulder</t>
  </si>
  <si>
    <t>Power Factor at Offpeak</t>
  </si>
  <si>
    <t>Real Demand (in kW) at Peak</t>
  </si>
  <si>
    <t>Real Demand (in kW) at Shoulder</t>
  </si>
  <si>
    <t>Real Demand (in kW) at Offpeak</t>
  </si>
  <si>
    <t>Capacitance (in kVAr) at Peak</t>
  </si>
  <si>
    <t>New kVA Demand at Peak</t>
  </si>
  <si>
    <t>New kVA Demand at Shoulder</t>
  </si>
  <si>
    <t>Capacitance (in kVAr) at offpeak</t>
  </si>
  <si>
    <t>Capacitance (in kVAr) at Shoulder</t>
  </si>
  <si>
    <t>kVAr to be installed</t>
  </si>
  <si>
    <t>New Power Factor at Peak</t>
  </si>
  <si>
    <t>New Power Factor at Shoulder</t>
  </si>
  <si>
    <t>New Power Factor at Offpeak</t>
  </si>
  <si>
    <t>Savings per Month</t>
  </si>
  <si>
    <t>Annualised Savings</t>
  </si>
  <si>
    <t>Simple Payback</t>
  </si>
  <si>
    <t>Data entry - manual</t>
  </si>
  <si>
    <t>Demand Component</t>
  </si>
  <si>
    <r>
      <rPr>
        <b/>
        <sz val="14"/>
        <rFont val="Arial"/>
        <family val="2"/>
      </rPr>
      <t>Tariff &amp; Power Factor Analysis</t>
    </r>
    <r>
      <rPr>
        <b/>
        <sz val="10"/>
        <rFont val="Arial"/>
        <family val="2"/>
      </rPr>
      <t xml:space="preserve">
Notes
</t>
    </r>
  </si>
  <si>
    <t xml:space="preserve">
These worksheets are an example only. It is essential that you determine which tariffs are appropriate for your account and the rules for accessing and using the specific tariff.  Some tariffs will have different components.  Users of this sheet are encouraged to add and remove aspects of this spreadsheet accordingly.  Users of this sheet are also required to check any calculating cells to ensure that the calculation and any assumptions are correct.</t>
  </si>
  <si>
    <r>
      <t>Note:</t>
    </r>
    <r>
      <rPr>
        <sz val="12"/>
        <rFont val="Arial"/>
        <family val="2"/>
      </rPr>
      <t xml:space="preserve"> These worksheets are an example only.  It is essential that you determine which tariffs are appropriate for your account and the rules for accessing and using the specific tariff.  Some tariffs will have different components.  Users of this sheet are encouraged to add and remove aspects of this spreadsheet accordingly.  Users of this sheet are also required to check any calculating cells to ensure that the calculation and any assumptions are correct.</t>
    </r>
  </si>
  <si>
    <r>
      <t>Note:</t>
    </r>
    <r>
      <rPr>
        <sz val="14"/>
        <rFont val="Arial"/>
        <family val="2"/>
      </rPr>
      <t xml:space="preserve"> These worksheets are an example only.  It is essential that you determine which tariffs are appropriate for your account and the rules for accessing and using the specific tariff.  Some tariffs will have different components.  Users of this sheet are encouraged to add and remove aspects of this spreadsheet accordingly.  Users of this sheet are also required to check any calculating cells to ensure that the calculation and any assumptions are correct.</t>
    </r>
  </si>
  <si>
    <t xml:space="preserve">The material provided in this document has been produced in conjunction with our partner Energetics Pty Ltd.
</t>
  </si>
  <si>
    <t>This publication was funded by the Australian Government through the Workforce Innovation Program under the title 'Carbonproof for Foundries'</t>
  </si>
  <si>
    <t>© 2013 Manufacturing Skills Australia. All rights reserved.</t>
  </si>
</sst>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44" formatCode="_-&quot;$&quot;* #,##0.00_-;\-&quot;$&quot;* #,##0.00_-;_-&quot;$&quot;* &quot;-&quot;??_-;_-@_-"/>
    <numFmt numFmtId="43" formatCode="_-* #,##0.00_-;\-* #,##0.00_-;_-* &quot;-&quot;??_-;_-@_-"/>
    <numFmt numFmtId="164" formatCode="0.0%"/>
    <numFmt numFmtId="165" formatCode="_-&quot;$&quot;* #,##0.0000_-;\-&quot;$&quot;* #,##0.0000_-;_-&quot;$&quot;* &quot;-&quot;??_-;_-@_-"/>
    <numFmt numFmtId="166" formatCode="_-&quot;$&quot;* #,##0.0000000_-;\-&quot;$&quot;* #,##0.0000000_-;_-&quot;$&quot;* &quot;-&quot;??_-;_-@_-"/>
    <numFmt numFmtId="167" formatCode="_-&quot;$&quot;* #,##0.00000000_-;\-&quot;$&quot;* #,##0.00000000_-;_-&quot;$&quot;* &quot;-&quot;??_-;_-@_-"/>
    <numFmt numFmtId="168" formatCode="_-&quot;$&quot;* #,##0.000000000_-;\-&quot;$&quot;* #,##0.000000000_-;_-&quot;$&quot;* &quot;-&quot;??_-;_-@_-"/>
    <numFmt numFmtId="169" formatCode="0.00000"/>
    <numFmt numFmtId="170" formatCode="_-&quot;$&quot;* #,##0_-;\-&quot;$&quot;* #,##0_-;_-&quot;$&quot;* &quot;-&quot;??_-;_-@_-"/>
    <numFmt numFmtId="171" formatCode="_-* #,##0_-;\-* #,##0_-;_-* &quot;-&quot;??_-;_-@_-"/>
    <numFmt numFmtId="172" formatCode="_-* #,##0.00000_-;\-* #,##0.00000_-;_-* &quot;-&quot;??_-;_-@_-"/>
    <numFmt numFmtId="173" formatCode="_-&quot;$&quot;* #,##0.0_-;\-&quot;$&quot;* #,##0.0_-;_-&quot;$&quot;* &quot;-&quot;??_-;_-@_-"/>
    <numFmt numFmtId="174" formatCode="0.00&quot; Months&quot;"/>
    <numFmt numFmtId="175" formatCode="&quot;$&quot;#,##0\ ;\(&quot;$&quot;#,##0\)"/>
  </numFmts>
  <fonts count="14" x14ac:knownFonts="1">
    <font>
      <sz val="10"/>
      <name val="Arial"/>
    </font>
    <font>
      <sz val="10"/>
      <name val="Arial"/>
      <family val="2"/>
    </font>
    <font>
      <b/>
      <sz val="10"/>
      <name val="Arial"/>
      <family val="2"/>
    </font>
    <font>
      <sz val="8"/>
      <name val="Arial"/>
      <family val="2"/>
    </font>
    <font>
      <b/>
      <sz val="12"/>
      <name val="Arial"/>
      <family val="2"/>
    </font>
    <font>
      <i/>
      <sz val="10"/>
      <name val="Arial"/>
      <family val="2"/>
    </font>
    <font>
      <sz val="12"/>
      <name val="Arial"/>
      <family val="2"/>
    </font>
    <font>
      <b/>
      <sz val="14"/>
      <name val="Arial"/>
      <family val="2"/>
    </font>
    <font>
      <sz val="10"/>
      <color indexed="24"/>
      <name val="Courier New"/>
      <family val="3"/>
    </font>
    <font>
      <b/>
      <sz val="16"/>
      <name val="Times New Roman"/>
      <family val="1"/>
    </font>
    <font>
      <sz val="10"/>
      <name val="Arial"/>
    </font>
    <font>
      <sz val="14"/>
      <name val="Arial"/>
      <family val="2"/>
    </font>
    <font>
      <sz val="11"/>
      <color theme="1"/>
      <name val="Calibri"/>
      <family val="2"/>
      <scheme val="minor"/>
    </font>
    <font>
      <sz val="12"/>
      <color theme="1"/>
      <name val="Calibri"/>
      <family val="2"/>
      <scheme val="minor"/>
    </font>
  </fonts>
  <fills count="14">
    <fill>
      <patternFill patternType="none"/>
    </fill>
    <fill>
      <patternFill patternType="gray125"/>
    </fill>
    <fill>
      <patternFill patternType="solid">
        <fgColor indexed="22"/>
        <bgColor indexed="64"/>
      </patternFill>
    </fill>
    <fill>
      <patternFill patternType="solid">
        <fgColor indexed="26"/>
        <bgColor indexed="64"/>
      </patternFill>
    </fill>
    <fill>
      <patternFill patternType="solid">
        <fgColor indexed="41"/>
        <bgColor indexed="64"/>
      </patternFill>
    </fill>
    <fill>
      <patternFill patternType="solid">
        <fgColor indexed="46"/>
        <bgColor indexed="64"/>
      </patternFill>
    </fill>
    <fill>
      <patternFill patternType="solid">
        <fgColor indexed="45"/>
        <bgColor indexed="64"/>
      </patternFill>
    </fill>
    <fill>
      <patternFill patternType="solid">
        <fgColor indexed="43"/>
        <bgColor indexed="64"/>
      </patternFill>
    </fill>
    <fill>
      <patternFill patternType="solid">
        <fgColor indexed="42"/>
        <bgColor indexed="64"/>
      </patternFill>
    </fill>
    <fill>
      <patternFill patternType="solid">
        <fgColor indexed="47"/>
        <bgColor indexed="64"/>
      </patternFill>
    </fill>
    <fill>
      <patternFill patternType="solid">
        <fgColor theme="9" tint="-0.249977111117893"/>
        <bgColor indexed="64"/>
      </patternFill>
    </fill>
    <fill>
      <patternFill patternType="solid">
        <fgColor theme="8" tint="0.39997558519241921"/>
        <bgColor indexed="64"/>
      </patternFill>
    </fill>
    <fill>
      <patternFill patternType="solid">
        <fgColor theme="6" tint="0.39997558519241921"/>
        <bgColor indexed="64"/>
      </patternFill>
    </fill>
    <fill>
      <patternFill patternType="solid">
        <fgColor theme="7" tint="0.39997558519241921"/>
        <bgColor indexed="64"/>
      </patternFill>
    </fill>
  </fills>
  <borders count="33">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6">
    <xf numFmtId="0" fontId="0" fillId="0" borderId="0"/>
    <xf numFmtId="43" fontId="1" fillId="0" borderId="0" applyFont="0" applyFill="0" applyBorder="0" applyAlignment="0" applyProtection="0"/>
    <xf numFmtId="3" fontId="8" fillId="0" borderId="0" applyFont="0" applyFill="0" applyBorder="0" applyAlignment="0" applyProtection="0"/>
    <xf numFmtId="44" fontId="1" fillId="0" borderId="0" applyFont="0" applyFill="0" applyBorder="0" applyAlignment="0" applyProtection="0"/>
    <xf numFmtId="175" fontId="8" fillId="0" borderId="0" applyFont="0" applyFill="0" applyBorder="0" applyAlignment="0" applyProtection="0"/>
    <xf numFmtId="0" fontId="8" fillId="0" borderId="0" applyFont="0" applyFill="0" applyBorder="0" applyAlignment="0" applyProtection="0"/>
    <xf numFmtId="2" fontId="8" fillId="0" borderId="0" applyFont="0" applyFill="0" applyBorder="0" applyAlignment="0" applyProtection="0"/>
    <xf numFmtId="38" fontId="3" fillId="2" borderId="0" applyNumberFormat="0" applyBorder="0" applyAlignment="0" applyProtection="0"/>
    <xf numFmtId="0" fontId="9" fillId="0" borderId="0"/>
    <xf numFmtId="0" fontId="4" fillId="0" borderId="1" applyNumberFormat="0" applyAlignment="0" applyProtection="0">
      <alignment horizontal="left" vertical="center"/>
    </xf>
    <xf numFmtId="0" fontId="4" fillId="0" borderId="2">
      <alignment horizontal="left" vertical="center"/>
    </xf>
    <xf numFmtId="10" fontId="3" fillId="3" borderId="3" applyNumberFormat="0" applyBorder="0" applyAlignment="0" applyProtection="0"/>
    <xf numFmtId="0" fontId="1" fillId="0" borderId="0"/>
    <xf numFmtId="0" fontId="12" fillId="0" borderId="0"/>
    <xf numFmtId="9" fontId="1" fillId="0" borderId="0" applyFont="0" applyFill="0" applyBorder="0" applyAlignment="0" applyProtection="0"/>
    <xf numFmtId="10" fontId="1" fillId="0" borderId="0" applyFont="0" applyFill="0" applyBorder="0" applyAlignment="0" applyProtection="0"/>
  </cellStyleXfs>
  <cellXfs count="160">
    <xf numFmtId="0" fontId="0" fillId="0" borderId="0" xfId="0"/>
    <xf numFmtId="0" fontId="0" fillId="0" borderId="4" xfId="0" applyBorder="1" applyAlignment="1">
      <alignment horizontal="center"/>
    </xf>
    <xf numFmtId="0" fontId="0" fillId="0" borderId="4" xfId="0" applyBorder="1"/>
    <xf numFmtId="0" fontId="0" fillId="0" borderId="5" xfId="0" applyBorder="1"/>
    <xf numFmtId="0" fontId="0" fillId="0" borderId="6" xfId="0" applyBorder="1"/>
    <xf numFmtId="0" fontId="0" fillId="0" borderId="4" xfId="0" applyFill="1" applyBorder="1"/>
    <xf numFmtId="0" fontId="0" fillId="0" borderId="5" xfId="0" applyFill="1" applyBorder="1"/>
    <xf numFmtId="0" fontId="0" fillId="0" borderId="6" xfId="0" applyFill="1" applyBorder="1"/>
    <xf numFmtId="0" fontId="0" fillId="0" borderId="7" xfId="0" applyFill="1" applyBorder="1"/>
    <xf numFmtId="0" fontId="0" fillId="0" borderId="5" xfId="0" applyBorder="1" applyAlignment="1">
      <alignment horizontal="center" wrapText="1"/>
    </xf>
    <xf numFmtId="0" fontId="2" fillId="2" borderId="8" xfId="0" applyFont="1" applyFill="1" applyBorder="1" applyAlignment="1">
      <alignment horizontal="center"/>
    </xf>
    <xf numFmtId="167" fontId="0" fillId="0" borderId="4" xfId="3" applyNumberFormat="1" applyFont="1" applyBorder="1" applyAlignment="1">
      <alignment horizontal="center"/>
    </xf>
    <xf numFmtId="168" fontId="0" fillId="0" borderId="0" xfId="3" applyNumberFormat="1" applyFont="1" applyBorder="1"/>
    <xf numFmtId="168" fontId="0" fillId="0" borderId="6" xfId="3" applyNumberFormat="1" applyFont="1" applyBorder="1"/>
    <xf numFmtId="168" fontId="0" fillId="0" borderId="9" xfId="3" applyNumberFormat="1" applyFont="1" applyBorder="1"/>
    <xf numFmtId="168" fontId="0" fillId="0" borderId="7" xfId="3" applyNumberFormat="1" applyFont="1" applyBorder="1"/>
    <xf numFmtId="0" fontId="2" fillId="2" borderId="3" xfId="0" applyFont="1" applyFill="1" applyBorder="1" applyAlignment="1">
      <alignment horizontal="center"/>
    </xf>
    <xf numFmtId="0" fontId="0" fillId="0" borderId="2" xfId="0" applyBorder="1"/>
    <xf numFmtId="0" fontId="0" fillId="0" borderId="10" xfId="0" applyBorder="1"/>
    <xf numFmtId="0" fontId="0" fillId="0" borderId="3" xfId="0" applyFill="1" applyBorder="1"/>
    <xf numFmtId="169" fontId="0" fillId="0" borderId="5" xfId="3" applyNumberFormat="1" applyFont="1" applyBorder="1" applyAlignment="1">
      <alignment horizontal="center"/>
    </xf>
    <xf numFmtId="0" fontId="0" fillId="0" borderId="4" xfId="0" applyBorder="1" applyAlignment="1">
      <alignment horizontal="center" wrapText="1"/>
    </xf>
    <xf numFmtId="0" fontId="0" fillId="2" borderId="2" xfId="0" applyFill="1" applyBorder="1"/>
    <xf numFmtId="0" fontId="0" fillId="2" borderId="10" xfId="0" applyFill="1" applyBorder="1"/>
    <xf numFmtId="0" fontId="5" fillId="0" borderId="5" xfId="0" applyFont="1" applyBorder="1" applyAlignment="1">
      <alignment horizontal="center" wrapText="1"/>
    </xf>
    <xf numFmtId="0" fontId="5" fillId="0" borderId="4" xfId="0" applyFont="1" applyBorder="1" applyAlignment="1">
      <alignment horizontal="center" wrapText="1"/>
    </xf>
    <xf numFmtId="169" fontId="0" fillId="0" borderId="0" xfId="3" applyNumberFormat="1" applyFont="1" applyBorder="1" applyAlignment="1">
      <alignment horizontal="center"/>
    </xf>
    <xf numFmtId="169" fontId="0" fillId="0" borderId="0" xfId="0" applyNumberFormat="1" applyAlignment="1">
      <alignment horizontal="center"/>
    </xf>
    <xf numFmtId="0" fontId="0" fillId="0" borderId="0" xfId="0" applyAlignment="1">
      <alignment vertical="top"/>
    </xf>
    <xf numFmtId="0" fontId="4" fillId="0" borderId="11" xfId="0" applyFont="1" applyBorder="1" applyAlignment="1">
      <alignment vertical="top"/>
    </xf>
    <xf numFmtId="17" fontId="6" fillId="0" borderId="12" xfId="0" applyNumberFormat="1" applyFont="1" applyBorder="1" applyAlignment="1">
      <alignment vertical="top"/>
    </xf>
    <xf numFmtId="0" fontId="4" fillId="0" borderId="12" xfId="0" applyFont="1" applyBorder="1" applyAlignment="1">
      <alignment horizontal="right" vertical="top"/>
    </xf>
    <xf numFmtId="0" fontId="4" fillId="0" borderId="12" xfId="0" applyFont="1" applyBorder="1" applyAlignment="1">
      <alignment vertical="top"/>
    </xf>
    <xf numFmtId="0" fontId="6" fillId="0" borderId="12" xfId="0" applyFont="1" applyBorder="1" applyAlignment="1">
      <alignment vertical="top"/>
    </xf>
    <xf numFmtId="0" fontId="6" fillId="0" borderId="13" xfId="0" applyFont="1" applyBorder="1" applyAlignment="1">
      <alignment vertical="top"/>
    </xf>
    <xf numFmtId="0" fontId="6" fillId="0" borderId="0" xfId="0" applyFont="1" applyFill="1" applyBorder="1" applyAlignment="1">
      <alignment vertical="top"/>
    </xf>
    <xf numFmtId="0" fontId="6" fillId="0" borderId="0" xfId="0" applyFont="1" applyFill="1" applyAlignment="1">
      <alignment vertical="top"/>
    </xf>
    <xf numFmtId="0" fontId="6" fillId="0" borderId="0" xfId="0" applyFont="1" applyAlignment="1">
      <alignment vertical="top"/>
    </xf>
    <xf numFmtId="0" fontId="6" fillId="0" borderId="3" xfId="0" applyFont="1" applyBorder="1" applyAlignment="1">
      <alignment horizontal="center" vertical="top"/>
    </xf>
    <xf numFmtId="0" fontId="2" fillId="2" borderId="14" xfId="0" applyFont="1" applyFill="1" applyBorder="1" applyAlignment="1">
      <alignment vertical="top"/>
    </xf>
    <xf numFmtId="0" fontId="2" fillId="2" borderId="0" xfId="0" applyFont="1" applyFill="1" applyBorder="1" applyAlignment="1">
      <alignment vertical="top"/>
    </xf>
    <xf numFmtId="0" fontId="2" fillId="2" borderId="6" xfId="0" applyFont="1" applyFill="1" applyBorder="1" applyAlignment="1">
      <alignment vertical="top"/>
    </xf>
    <xf numFmtId="0" fontId="2" fillId="0" borderId="0" xfId="0" applyFont="1" applyFill="1" applyBorder="1" applyAlignment="1">
      <alignment vertical="top"/>
    </xf>
    <xf numFmtId="0" fontId="0" fillId="0" borderId="0" xfId="0" applyFill="1" applyAlignment="1">
      <alignment vertical="top"/>
    </xf>
    <xf numFmtId="0" fontId="0" fillId="4" borderId="3" xfId="0" applyFill="1" applyBorder="1" applyAlignment="1">
      <alignment horizontal="center" vertical="top"/>
    </xf>
    <xf numFmtId="0" fontId="0" fillId="0" borderId="14" xfId="0" applyBorder="1" applyAlignment="1">
      <alignment vertical="top"/>
    </xf>
    <xf numFmtId="0" fontId="2" fillId="0" borderId="0" xfId="0" applyFont="1" applyBorder="1" applyAlignment="1">
      <alignment horizontal="center" vertical="top"/>
    </xf>
    <xf numFmtId="0" fontId="2" fillId="0" borderId="6" xfId="0" applyFont="1" applyBorder="1" applyAlignment="1">
      <alignment horizontal="center" vertical="top"/>
    </xf>
    <xf numFmtId="0" fontId="2" fillId="0" borderId="0" xfId="0" applyFont="1" applyFill="1" applyBorder="1" applyAlignment="1">
      <alignment horizontal="center" vertical="top"/>
    </xf>
    <xf numFmtId="0" fontId="0" fillId="5" borderId="3" xfId="0" applyFill="1" applyBorder="1" applyAlignment="1">
      <alignment horizontal="center" vertical="top" wrapText="1"/>
    </xf>
    <xf numFmtId="10" fontId="0" fillId="4" borderId="0" xfId="14" applyNumberFormat="1" applyFont="1" applyFill="1" applyBorder="1" applyAlignment="1">
      <alignment vertical="top"/>
    </xf>
    <xf numFmtId="165" fontId="0" fillId="5" borderId="0" xfId="3" applyNumberFormat="1" applyFont="1" applyFill="1" applyBorder="1" applyAlignment="1">
      <alignment vertical="top"/>
    </xf>
    <xf numFmtId="44" fontId="0" fillId="0" borderId="0" xfId="3" applyFont="1" applyFill="1" applyBorder="1" applyAlignment="1">
      <alignment vertical="top"/>
    </xf>
    <xf numFmtId="0" fontId="0" fillId="6" borderId="3" xfId="0" applyFill="1" applyBorder="1" applyAlignment="1">
      <alignment horizontal="center" vertical="top"/>
    </xf>
    <xf numFmtId="10" fontId="0" fillId="4" borderId="0" xfId="0" applyNumberFormat="1" applyFill="1" applyBorder="1" applyAlignment="1">
      <alignment vertical="top"/>
    </xf>
    <xf numFmtId="0" fontId="0" fillId="7" borderId="3" xfId="0" applyFill="1" applyBorder="1" applyAlignment="1">
      <alignment horizontal="center" vertical="top"/>
    </xf>
    <xf numFmtId="0" fontId="0" fillId="8" borderId="3" xfId="0" applyFill="1" applyBorder="1" applyAlignment="1">
      <alignment horizontal="center" vertical="top"/>
    </xf>
    <xf numFmtId="0" fontId="0" fillId="0" borderId="0" xfId="0" applyBorder="1" applyAlignment="1">
      <alignment vertical="top"/>
    </xf>
    <xf numFmtId="0" fontId="0" fillId="0" borderId="0" xfId="0" applyFill="1" applyBorder="1" applyAlignment="1">
      <alignment vertical="top"/>
    </xf>
    <xf numFmtId="0" fontId="0" fillId="2" borderId="5" xfId="0" applyFill="1" applyBorder="1" applyAlignment="1">
      <alignment horizontal="center" vertical="top"/>
    </xf>
    <xf numFmtId="44" fontId="2" fillId="0" borderId="0" xfId="3" applyFont="1" applyFill="1" applyBorder="1" applyAlignment="1">
      <alignment vertical="top"/>
    </xf>
    <xf numFmtId="0" fontId="0" fillId="9" borderId="3" xfId="0" applyFill="1" applyBorder="1" applyAlignment="1">
      <alignment vertical="top"/>
    </xf>
    <xf numFmtId="166" fontId="0" fillId="6" borderId="0" xfId="3" applyNumberFormat="1" applyFont="1" applyFill="1" applyBorder="1" applyAlignment="1">
      <alignment vertical="top"/>
    </xf>
    <xf numFmtId="166" fontId="0" fillId="9" borderId="0" xfId="3" applyNumberFormat="1" applyFont="1" applyFill="1" applyBorder="1" applyAlignment="1">
      <alignment vertical="top"/>
    </xf>
    <xf numFmtId="166" fontId="0" fillId="5" borderId="0" xfId="3" applyNumberFormat="1" applyFont="1" applyFill="1" applyBorder="1" applyAlignment="1">
      <alignment vertical="top"/>
    </xf>
    <xf numFmtId="165" fontId="0" fillId="4" borderId="0" xfId="3" applyNumberFormat="1" applyFont="1" applyFill="1" applyBorder="1" applyAlignment="1">
      <alignment vertical="top"/>
    </xf>
    <xf numFmtId="0" fontId="0" fillId="0" borderId="11" xfId="0" applyBorder="1" applyAlignment="1">
      <alignment vertical="top"/>
    </xf>
    <xf numFmtId="0" fontId="0" fillId="0" borderId="12" xfId="0" applyBorder="1" applyAlignment="1">
      <alignment vertical="top"/>
    </xf>
    <xf numFmtId="44" fontId="0" fillId="0" borderId="0" xfId="0" applyNumberFormat="1" applyFill="1" applyBorder="1" applyAlignment="1">
      <alignment vertical="top"/>
    </xf>
    <xf numFmtId="0" fontId="0" fillId="0" borderId="15" xfId="0" applyBorder="1" applyAlignment="1">
      <alignment vertical="top"/>
    </xf>
    <xf numFmtId="0" fontId="0" fillId="0" borderId="9" xfId="0" applyBorder="1" applyAlignment="1">
      <alignment vertical="top"/>
    </xf>
    <xf numFmtId="44" fontId="2" fillId="0" borderId="0" xfId="0" applyNumberFormat="1" applyFont="1" applyFill="1" applyBorder="1" applyAlignment="1">
      <alignment vertical="top"/>
    </xf>
    <xf numFmtId="0" fontId="2" fillId="0" borderId="16" xfId="0" applyFont="1" applyBorder="1" applyAlignment="1">
      <alignment horizontal="center" vertical="top"/>
    </xf>
    <xf numFmtId="0" fontId="2" fillId="0" borderId="17" xfId="0" applyFont="1" applyBorder="1" applyAlignment="1">
      <alignment horizontal="center" vertical="top"/>
    </xf>
    <xf numFmtId="0" fontId="2" fillId="0" borderId="18" xfId="0" applyFont="1" applyBorder="1" applyAlignment="1">
      <alignment vertical="top"/>
    </xf>
    <xf numFmtId="0" fontId="0" fillId="0" borderId="3" xfId="0" applyBorder="1" applyAlignment="1">
      <alignment vertical="top"/>
    </xf>
    <xf numFmtId="0" fontId="0" fillId="0" borderId="19" xfId="0" applyBorder="1" applyAlignment="1">
      <alignment vertical="top"/>
    </xf>
    <xf numFmtId="0" fontId="2" fillId="0" borderId="20" xfId="0" applyFont="1" applyBorder="1" applyAlignment="1">
      <alignment vertical="top"/>
    </xf>
    <xf numFmtId="164" fontId="0" fillId="0" borderId="21" xfId="14" applyNumberFormat="1" applyFont="1" applyBorder="1" applyAlignment="1">
      <alignment vertical="top"/>
    </xf>
    <xf numFmtId="171" fontId="0" fillId="8" borderId="0" xfId="1" applyNumberFormat="1" applyFont="1" applyFill="1" applyBorder="1" applyAlignment="1">
      <alignment vertical="top"/>
    </xf>
    <xf numFmtId="171" fontId="0" fillId="0" borderId="0" xfId="1" applyNumberFormat="1" applyFont="1" applyBorder="1" applyAlignment="1">
      <alignment vertical="top"/>
    </xf>
    <xf numFmtId="171" fontId="2" fillId="7" borderId="2" xfId="1" applyNumberFormat="1" applyFont="1" applyFill="1" applyBorder="1" applyAlignment="1">
      <alignment vertical="top"/>
    </xf>
    <xf numFmtId="171" fontId="0" fillId="7" borderId="0" xfId="1" applyNumberFormat="1" applyFont="1" applyFill="1" applyBorder="1" applyAlignment="1">
      <alignment vertical="top"/>
    </xf>
    <xf numFmtId="171" fontId="0" fillId="2" borderId="0" xfId="1" applyNumberFormat="1" applyFont="1" applyFill="1" applyBorder="1" applyAlignment="1">
      <alignment vertical="top"/>
    </xf>
    <xf numFmtId="170" fontId="0" fillId="7" borderId="6" xfId="3" applyNumberFormat="1" applyFont="1" applyFill="1" applyBorder="1" applyAlignment="1">
      <alignment vertical="top"/>
    </xf>
    <xf numFmtId="170" fontId="0" fillId="0" borderId="6" xfId="0" applyNumberFormat="1" applyBorder="1" applyAlignment="1">
      <alignment vertical="top"/>
    </xf>
    <xf numFmtId="170" fontId="2" fillId="7" borderId="10" xfId="3" applyNumberFormat="1" applyFont="1" applyFill="1" applyBorder="1" applyAlignment="1">
      <alignment vertical="top"/>
    </xf>
    <xf numFmtId="170" fontId="2" fillId="2" borderId="6" xfId="0" applyNumberFormat="1" applyFont="1" applyFill="1" applyBorder="1" applyAlignment="1">
      <alignment vertical="top"/>
    </xf>
    <xf numFmtId="170" fontId="0" fillId="7" borderId="13" xfId="0" applyNumberFormat="1" applyFill="1" applyBorder="1" applyAlignment="1">
      <alignment vertical="top"/>
    </xf>
    <xf numFmtId="170" fontId="0" fillId="7" borderId="7" xfId="0" applyNumberFormat="1" applyFill="1" applyBorder="1" applyAlignment="1">
      <alignment vertical="top"/>
    </xf>
    <xf numFmtId="170" fontId="2" fillId="7" borderId="7" xfId="0" applyNumberFormat="1" applyFont="1" applyFill="1" applyBorder="1" applyAlignment="1">
      <alignment vertical="top"/>
    </xf>
    <xf numFmtId="170" fontId="0" fillId="0" borderId="3" xfId="0" applyNumberFormat="1" applyBorder="1" applyAlignment="1">
      <alignment vertical="top"/>
    </xf>
    <xf numFmtId="170" fontId="0" fillId="0" borderId="22" xfId="0" applyNumberFormat="1" applyBorder="1" applyAlignment="1">
      <alignment vertical="top"/>
    </xf>
    <xf numFmtId="0" fontId="2" fillId="0" borderId="23" xfId="0" applyFont="1" applyBorder="1" applyAlignment="1">
      <alignment vertical="top"/>
    </xf>
    <xf numFmtId="0" fontId="12" fillId="0" borderId="0" xfId="13"/>
    <xf numFmtId="0" fontId="0" fillId="0" borderId="24" xfId="0" applyBorder="1" applyAlignment="1">
      <alignment vertical="top"/>
    </xf>
    <xf numFmtId="0" fontId="0" fillId="0" borderId="2" xfId="0" applyBorder="1" applyAlignment="1">
      <alignment vertical="top"/>
    </xf>
    <xf numFmtId="171" fontId="12" fillId="0" borderId="0" xfId="13" applyNumberFormat="1"/>
    <xf numFmtId="172" fontId="12" fillId="0" borderId="0" xfId="13" applyNumberFormat="1"/>
    <xf numFmtId="0" fontId="1" fillId="10" borderId="3" xfId="0" applyFont="1" applyFill="1" applyBorder="1" applyAlignment="1">
      <alignment horizontal="center" vertical="top"/>
    </xf>
    <xf numFmtId="171" fontId="12" fillId="10" borderId="3" xfId="13" applyNumberFormat="1" applyFill="1" applyBorder="1"/>
    <xf numFmtId="0" fontId="0" fillId="11" borderId="3" xfId="0" applyFill="1" applyBorder="1" applyAlignment="1">
      <alignment horizontal="center" vertical="top"/>
    </xf>
    <xf numFmtId="0" fontId="0" fillId="12" borderId="3" xfId="0" applyFill="1" applyBorder="1" applyAlignment="1">
      <alignment horizontal="center" vertical="top"/>
    </xf>
    <xf numFmtId="170" fontId="10" fillId="12" borderId="6" xfId="3" applyNumberFormat="1" applyFont="1" applyFill="1" applyBorder="1" applyAlignment="1">
      <alignment vertical="top"/>
    </xf>
    <xf numFmtId="173" fontId="12" fillId="10" borderId="24" xfId="13" applyNumberFormat="1" applyFill="1" applyBorder="1"/>
    <xf numFmtId="170" fontId="10" fillId="12" borderId="8" xfId="3" applyNumberFormat="1" applyFont="1" applyFill="1" applyBorder="1" applyAlignment="1">
      <alignment vertical="top"/>
    </xf>
    <xf numFmtId="170" fontId="10" fillId="12" borderId="4" xfId="3" applyNumberFormat="1" applyFont="1" applyFill="1" applyBorder="1" applyAlignment="1">
      <alignment vertical="top"/>
    </xf>
    <xf numFmtId="170" fontId="2" fillId="12" borderId="3" xfId="3" applyNumberFormat="1" applyFont="1" applyFill="1" applyBorder="1" applyAlignment="1">
      <alignment vertical="top"/>
    </xf>
    <xf numFmtId="170" fontId="12" fillId="12" borderId="3" xfId="3" applyNumberFormat="1" applyFont="1" applyFill="1" applyBorder="1"/>
    <xf numFmtId="170" fontId="12" fillId="12" borderId="8" xfId="13" applyNumberFormat="1" applyFill="1" applyBorder="1"/>
    <xf numFmtId="44" fontId="12" fillId="12" borderId="4" xfId="13" applyNumberFormat="1" applyFill="1" applyBorder="1"/>
    <xf numFmtId="174" fontId="12" fillId="12" borderId="5" xfId="13" applyNumberFormat="1" applyFill="1" applyBorder="1"/>
    <xf numFmtId="165" fontId="10" fillId="13" borderId="8" xfId="3" applyNumberFormat="1" applyFont="1" applyFill="1" applyBorder="1" applyAlignment="1">
      <alignment vertical="top"/>
    </xf>
    <xf numFmtId="165" fontId="10" fillId="13" borderId="4" xfId="3" applyNumberFormat="1" applyFont="1" applyFill="1" applyBorder="1" applyAlignment="1">
      <alignment vertical="top"/>
    </xf>
    <xf numFmtId="165" fontId="10" fillId="13" borderId="5" xfId="3" applyNumberFormat="1" applyFont="1" applyFill="1" applyBorder="1" applyAlignment="1">
      <alignment vertical="top"/>
    </xf>
    <xf numFmtId="0" fontId="0" fillId="13" borderId="8" xfId="0" applyFill="1" applyBorder="1" applyAlignment="1">
      <alignment horizontal="center" vertical="top"/>
    </xf>
    <xf numFmtId="171" fontId="10" fillId="11" borderId="8" xfId="1" applyNumberFormat="1" applyFont="1" applyFill="1" applyBorder="1" applyAlignment="1">
      <alignment vertical="top"/>
    </xf>
    <xf numFmtId="171" fontId="10" fillId="11" borderId="4" xfId="1" applyNumberFormat="1" applyFont="1" applyFill="1" applyBorder="1" applyAlignment="1">
      <alignment vertical="top"/>
    </xf>
    <xf numFmtId="171" fontId="10" fillId="11" borderId="5" xfId="1" applyNumberFormat="1" applyFont="1" applyFill="1" applyBorder="1" applyAlignment="1">
      <alignment vertical="top"/>
    </xf>
    <xf numFmtId="170" fontId="10" fillId="12" borderId="13" xfId="3" applyNumberFormat="1" applyFont="1" applyFill="1" applyBorder="1" applyAlignment="1">
      <alignment vertical="top"/>
    </xf>
    <xf numFmtId="0" fontId="12" fillId="12" borderId="8" xfId="13" applyFill="1" applyBorder="1"/>
    <xf numFmtId="0" fontId="12" fillId="12" borderId="4" xfId="13" applyFill="1" applyBorder="1"/>
    <xf numFmtId="0" fontId="12" fillId="12" borderId="5" xfId="13" applyFill="1" applyBorder="1"/>
    <xf numFmtId="171" fontId="12" fillId="12" borderId="8" xfId="13" applyNumberFormat="1" applyFill="1" applyBorder="1"/>
    <xf numFmtId="171" fontId="12" fillId="12" borderId="4" xfId="13" applyNumberFormat="1" applyFill="1" applyBorder="1"/>
    <xf numFmtId="171" fontId="12" fillId="12" borderId="5" xfId="13" applyNumberFormat="1" applyFill="1" applyBorder="1"/>
    <xf numFmtId="171" fontId="12" fillId="12" borderId="8" xfId="1" applyNumberFormat="1" applyFont="1" applyFill="1" applyBorder="1"/>
    <xf numFmtId="171" fontId="12" fillId="12" borderId="4" xfId="1" applyNumberFormat="1" applyFont="1" applyFill="1" applyBorder="1"/>
    <xf numFmtId="171" fontId="12" fillId="12" borderId="5" xfId="1" applyNumberFormat="1" applyFont="1" applyFill="1" applyBorder="1"/>
    <xf numFmtId="172" fontId="12" fillId="12" borderId="8" xfId="13" applyNumberFormat="1" applyFill="1" applyBorder="1"/>
    <xf numFmtId="172" fontId="12" fillId="12" borderId="4" xfId="13" applyNumberFormat="1" applyFill="1" applyBorder="1"/>
    <xf numFmtId="172" fontId="12" fillId="12" borderId="5" xfId="13" applyNumberFormat="1" applyFill="1" applyBorder="1"/>
    <xf numFmtId="165" fontId="12" fillId="12" borderId="8" xfId="13" applyNumberFormat="1" applyFill="1" applyBorder="1"/>
    <xf numFmtId="165" fontId="12" fillId="12" borderId="4" xfId="13" applyNumberFormat="1" applyFill="1" applyBorder="1"/>
    <xf numFmtId="165" fontId="12" fillId="12" borderId="5" xfId="13" applyNumberFormat="1" applyFill="1" applyBorder="1"/>
    <xf numFmtId="171" fontId="12" fillId="12" borderId="11" xfId="13" applyNumberFormat="1" applyFill="1" applyBorder="1"/>
    <xf numFmtId="171" fontId="12" fillId="12" borderId="14" xfId="13" applyNumberFormat="1" applyFill="1" applyBorder="1"/>
    <xf numFmtId="171" fontId="12" fillId="12" borderId="15" xfId="13" applyNumberFormat="1" applyFill="1" applyBorder="1"/>
    <xf numFmtId="0" fontId="12" fillId="12" borderId="0" xfId="13" applyFill="1"/>
    <xf numFmtId="0" fontId="0" fillId="0" borderId="0" xfId="0" applyBorder="1" applyAlignment="1">
      <alignment horizontal="left" vertical="top"/>
    </xf>
    <xf numFmtId="0" fontId="11" fillId="0" borderId="0" xfId="0" applyFont="1" applyAlignment="1">
      <alignment vertical="top"/>
    </xf>
    <xf numFmtId="0" fontId="13" fillId="0" borderId="0" xfId="13" applyFont="1"/>
    <xf numFmtId="0" fontId="0" fillId="0" borderId="0" xfId="0" applyAlignment="1">
      <alignment horizontal="center"/>
    </xf>
    <xf numFmtId="0" fontId="2" fillId="0" borderId="25" xfId="0" applyFont="1" applyBorder="1" applyAlignment="1">
      <alignment horizontal="center" vertical="top" wrapText="1"/>
    </xf>
    <xf numFmtId="0" fontId="1" fillId="0" borderId="26" xfId="0" applyFont="1" applyBorder="1" applyAlignment="1">
      <alignment horizontal="center" vertical="top"/>
    </xf>
    <xf numFmtId="0" fontId="1" fillId="0" borderId="27" xfId="0" applyFont="1" applyBorder="1" applyAlignment="1">
      <alignment horizontal="center" vertical="top"/>
    </xf>
    <xf numFmtId="0" fontId="1" fillId="0" borderId="28" xfId="0" applyFont="1" applyBorder="1" applyAlignment="1">
      <alignment horizontal="center" vertical="top"/>
    </xf>
    <xf numFmtId="0" fontId="1" fillId="0" borderId="0" xfId="0" applyFont="1" applyBorder="1" applyAlignment="1">
      <alignment horizontal="center" vertical="top"/>
    </xf>
    <xf numFmtId="0" fontId="1" fillId="0" borderId="29" xfId="0" applyFont="1" applyBorder="1" applyAlignment="1">
      <alignment horizontal="center" vertical="top"/>
    </xf>
    <xf numFmtId="0" fontId="0" fillId="0" borderId="28" xfId="0" applyBorder="1" applyAlignment="1">
      <alignment horizontal="left" vertical="top" wrapText="1"/>
    </xf>
    <xf numFmtId="0" fontId="0" fillId="0" borderId="0" xfId="0" applyBorder="1" applyAlignment="1">
      <alignment horizontal="left" vertical="top" wrapText="1"/>
    </xf>
    <xf numFmtId="0" fontId="0" fillId="0" borderId="29" xfId="0" applyBorder="1" applyAlignment="1">
      <alignment horizontal="left" vertical="top" wrapText="1"/>
    </xf>
    <xf numFmtId="0" fontId="0" fillId="0" borderId="30" xfId="0" applyBorder="1" applyAlignment="1">
      <alignment horizontal="left" vertical="top" wrapText="1"/>
    </xf>
    <xf numFmtId="0" fontId="0" fillId="0" borderId="31" xfId="0" applyBorder="1" applyAlignment="1">
      <alignment horizontal="left" vertical="top" wrapText="1"/>
    </xf>
    <xf numFmtId="0" fontId="0" fillId="0" borderId="32" xfId="0" applyBorder="1" applyAlignment="1">
      <alignment horizontal="left" vertical="top" wrapText="1"/>
    </xf>
    <xf numFmtId="44" fontId="0" fillId="0" borderId="8" xfId="3" applyFont="1" applyFill="1" applyBorder="1" applyAlignment="1">
      <alignment horizontal="center" vertical="top" wrapText="1"/>
    </xf>
    <xf numFmtId="44" fontId="0" fillId="0" borderId="4" xfId="3" applyFont="1" applyFill="1" applyBorder="1" applyAlignment="1">
      <alignment horizontal="center" vertical="top" wrapText="1"/>
    </xf>
    <xf numFmtId="44" fontId="0" fillId="0" borderId="5" xfId="3" applyFont="1" applyFill="1" applyBorder="1" applyAlignment="1">
      <alignment horizontal="center" vertical="top" wrapText="1"/>
    </xf>
    <xf numFmtId="0" fontId="7" fillId="0" borderId="0" xfId="0" applyFont="1" applyAlignment="1">
      <alignment horizontal="left" vertical="top" wrapText="1"/>
    </xf>
    <xf numFmtId="0" fontId="4" fillId="0" borderId="0" xfId="0" applyFont="1" applyAlignment="1">
      <alignment horizontal="left" vertical="top" wrapText="1"/>
    </xf>
  </cellXfs>
  <cellStyles count="16">
    <cellStyle name="Comma" xfId="1" builtinId="3"/>
    <cellStyle name="Comma0" xfId="2"/>
    <cellStyle name="Currency" xfId="3" builtinId="4"/>
    <cellStyle name="Currency0" xfId="4"/>
    <cellStyle name="Date" xfId="5"/>
    <cellStyle name="Fixed" xfId="6"/>
    <cellStyle name="Grey" xfId="7"/>
    <cellStyle name="header" xfId="8"/>
    <cellStyle name="Header1" xfId="9"/>
    <cellStyle name="Header2" xfId="10"/>
    <cellStyle name="Input [yellow]" xfId="11"/>
    <cellStyle name="Normal" xfId="0" builtinId="0"/>
    <cellStyle name="Normal - Style1" xfId="12"/>
    <cellStyle name="Normal 2" xfId="13"/>
    <cellStyle name="Percent" xfId="14" builtinId="5"/>
    <cellStyle name="Percent [2]" xfId="1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editAs="oneCell">
    <xdr:from>
      <xdr:col>6</xdr:col>
      <xdr:colOff>257175</xdr:colOff>
      <xdr:row>0</xdr:row>
      <xdr:rowOff>0</xdr:rowOff>
    </xdr:from>
    <xdr:to>
      <xdr:col>8</xdr:col>
      <xdr:colOff>238125</xdr:colOff>
      <xdr:row>5</xdr:row>
      <xdr:rowOff>85725</xdr:rowOff>
    </xdr:to>
    <xdr:pic>
      <xdr:nvPicPr>
        <xdr:cNvPr id="1034" name="Picture 3" descr="MSA_logo.jp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14775" y="0"/>
          <a:ext cx="1200150" cy="895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1257300</xdr:colOff>
      <xdr:row>29</xdr:row>
      <xdr:rowOff>114300</xdr:rowOff>
    </xdr:from>
    <xdr:to>
      <xdr:col>8</xdr:col>
      <xdr:colOff>2621956</xdr:colOff>
      <xdr:row>31</xdr:row>
      <xdr:rowOff>143582</xdr:rowOff>
    </xdr:to>
    <xdr:pic>
      <xdr:nvPicPr>
        <xdr:cNvPr id="5" name="Picture 4" descr="Description: logo_and_text"/>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134100" y="4829175"/>
          <a:ext cx="1364656" cy="8198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33CC"/>
  </sheetPr>
  <dimension ref="A1:H33"/>
  <sheetViews>
    <sheetView showGridLines="0" tabSelected="1" workbookViewId="0">
      <selection activeCell="G34" sqref="G34"/>
    </sheetView>
  </sheetViews>
  <sheetFormatPr defaultRowHeight="12.75" x14ac:dyDescent="0.2"/>
  <cols>
    <col min="9" max="9" width="54.140625" customWidth="1"/>
  </cols>
  <sheetData>
    <row r="1" spans="2:8" x14ac:dyDescent="0.2">
      <c r="B1" s="142"/>
      <c r="C1" s="142"/>
      <c r="D1" s="142"/>
      <c r="E1" s="142"/>
      <c r="F1" s="142"/>
      <c r="G1" s="142"/>
      <c r="H1" s="142"/>
    </row>
    <row r="2" spans="2:8" x14ac:dyDescent="0.2">
      <c r="B2" s="142"/>
      <c r="C2" s="142"/>
      <c r="D2" s="142"/>
      <c r="E2" s="142"/>
      <c r="F2" s="142"/>
      <c r="G2" s="142"/>
      <c r="H2" s="142"/>
    </row>
    <row r="3" spans="2:8" x14ac:dyDescent="0.2">
      <c r="B3" s="142"/>
      <c r="C3" s="142"/>
      <c r="D3" s="142"/>
      <c r="E3" s="142"/>
      <c r="F3" s="142"/>
      <c r="G3" s="142"/>
      <c r="H3" s="142"/>
    </row>
    <row r="4" spans="2:8" x14ac:dyDescent="0.2">
      <c r="B4" s="142"/>
      <c r="C4" s="142"/>
      <c r="D4" s="142"/>
      <c r="E4" s="142"/>
      <c r="F4" s="142"/>
      <c r="G4" s="142"/>
      <c r="H4" s="142"/>
    </row>
    <row r="5" spans="2:8" x14ac:dyDescent="0.2">
      <c r="B5" s="142"/>
      <c r="C5" s="142"/>
      <c r="D5" s="142"/>
      <c r="E5" s="142"/>
      <c r="F5" s="142"/>
      <c r="G5" s="142"/>
      <c r="H5" s="142"/>
    </row>
    <row r="6" spans="2:8" ht="13.5" thickBot="1" x14ac:dyDescent="0.25">
      <c r="B6" s="142"/>
      <c r="C6" s="142"/>
      <c r="D6" s="142"/>
      <c r="E6" s="142"/>
      <c r="F6" s="142"/>
      <c r="G6" s="142"/>
      <c r="H6" s="142"/>
    </row>
    <row r="7" spans="2:8" x14ac:dyDescent="0.2">
      <c r="B7" s="143" t="s">
        <v>93</v>
      </c>
      <c r="C7" s="144"/>
      <c r="D7" s="144"/>
      <c r="E7" s="144"/>
      <c r="F7" s="144"/>
      <c r="G7" s="144"/>
      <c r="H7" s="145"/>
    </row>
    <row r="8" spans="2:8" x14ac:dyDescent="0.2">
      <c r="B8" s="146"/>
      <c r="C8" s="147"/>
      <c r="D8" s="147"/>
      <c r="E8" s="147"/>
      <c r="F8" s="147"/>
      <c r="G8" s="147"/>
      <c r="H8" s="148"/>
    </row>
    <row r="9" spans="2:8" x14ac:dyDescent="0.2">
      <c r="B9" s="146"/>
      <c r="C9" s="147"/>
      <c r="D9" s="147"/>
      <c r="E9" s="147"/>
      <c r="F9" s="147"/>
      <c r="G9" s="147"/>
      <c r="H9" s="148"/>
    </row>
    <row r="10" spans="2:8" x14ac:dyDescent="0.2">
      <c r="B10" s="146"/>
      <c r="C10" s="147"/>
      <c r="D10" s="147"/>
      <c r="E10" s="147"/>
      <c r="F10" s="147"/>
      <c r="G10" s="147"/>
      <c r="H10" s="148"/>
    </row>
    <row r="11" spans="2:8" x14ac:dyDescent="0.2">
      <c r="B11" s="149" t="s">
        <v>94</v>
      </c>
      <c r="C11" s="150"/>
      <c r="D11" s="150"/>
      <c r="E11" s="150"/>
      <c r="F11" s="150"/>
      <c r="G11" s="150"/>
      <c r="H11" s="151"/>
    </row>
    <row r="12" spans="2:8" x14ac:dyDescent="0.2">
      <c r="B12" s="149"/>
      <c r="C12" s="150"/>
      <c r="D12" s="150"/>
      <c r="E12" s="150"/>
      <c r="F12" s="150"/>
      <c r="G12" s="150"/>
      <c r="H12" s="151"/>
    </row>
    <row r="13" spans="2:8" x14ac:dyDescent="0.2">
      <c r="B13" s="149"/>
      <c r="C13" s="150"/>
      <c r="D13" s="150"/>
      <c r="E13" s="150"/>
      <c r="F13" s="150"/>
      <c r="G13" s="150"/>
      <c r="H13" s="151"/>
    </row>
    <row r="14" spans="2:8" x14ac:dyDescent="0.2">
      <c r="B14" s="149"/>
      <c r="C14" s="150"/>
      <c r="D14" s="150"/>
      <c r="E14" s="150"/>
      <c r="F14" s="150"/>
      <c r="G14" s="150"/>
      <c r="H14" s="151"/>
    </row>
    <row r="15" spans="2:8" x14ac:dyDescent="0.2">
      <c r="B15" s="149"/>
      <c r="C15" s="150"/>
      <c r="D15" s="150"/>
      <c r="E15" s="150"/>
      <c r="F15" s="150"/>
      <c r="G15" s="150"/>
      <c r="H15" s="151"/>
    </row>
    <row r="16" spans="2:8" x14ac:dyDescent="0.2">
      <c r="B16" s="149"/>
      <c r="C16" s="150"/>
      <c r="D16" s="150"/>
      <c r="E16" s="150"/>
      <c r="F16" s="150"/>
      <c r="G16" s="150"/>
      <c r="H16" s="151"/>
    </row>
    <row r="17" spans="1:8" x14ac:dyDescent="0.2">
      <c r="B17" s="149"/>
      <c r="C17" s="150"/>
      <c r="D17" s="150"/>
      <c r="E17" s="150"/>
      <c r="F17" s="150"/>
      <c r="G17" s="150"/>
      <c r="H17" s="151"/>
    </row>
    <row r="18" spans="1:8" x14ac:dyDescent="0.2">
      <c r="B18" s="149"/>
      <c r="C18" s="150"/>
      <c r="D18" s="150"/>
      <c r="E18" s="150"/>
      <c r="F18" s="150"/>
      <c r="G18" s="150"/>
      <c r="H18" s="151"/>
    </row>
    <row r="19" spans="1:8" x14ac:dyDescent="0.2">
      <c r="B19" s="149"/>
      <c r="C19" s="150"/>
      <c r="D19" s="150"/>
      <c r="E19" s="150"/>
      <c r="F19" s="150"/>
      <c r="G19" s="150"/>
      <c r="H19" s="151"/>
    </row>
    <row r="20" spans="1:8" x14ac:dyDescent="0.2">
      <c r="B20" s="149"/>
      <c r="C20" s="150"/>
      <c r="D20" s="150"/>
      <c r="E20" s="150"/>
      <c r="F20" s="150"/>
      <c r="G20" s="150"/>
      <c r="H20" s="151"/>
    </row>
    <row r="21" spans="1:8" x14ac:dyDescent="0.2">
      <c r="B21" s="149"/>
      <c r="C21" s="150"/>
      <c r="D21" s="150"/>
      <c r="E21" s="150"/>
      <c r="F21" s="150"/>
      <c r="G21" s="150"/>
      <c r="H21" s="151"/>
    </row>
    <row r="22" spans="1:8" x14ac:dyDescent="0.2">
      <c r="B22" s="149"/>
      <c r="C22" s="150"/>
      <c r="D22" s="150"/>
      <c r="E22" s="150"/>
      <c r="F22" s="150"/>
      <c r="G22" s="150"/>
      <c r="H22" s="151"/>
    </row>
    <row r="23" spans="1:8" x14ac:dyDescent="0.2">
      <c r="B23" s="149"/>
      <c r="C23" s="150"/>
      <c r="D23" s="150"/>
      <c r="E23" s="150"/>
      <c r="F23" s="150"/>
      <c r="G23" s="150"/>
      <c r="H23" s="151"/>
    </row>
    <row r="24" spans="1:8" x14ac:dyDescent="0.2">
      <c r="B24" s="149"/>
      <c r="C24" s="150"/>
      <c r="D24" s="150"/>
      <c r="E24" s="150"/>
      <c r="F24" s="150"/>
      <c r="G24" s="150"/>
      <c r="H24" s="151"/>
    </row>
    <row r="25" spans="1:8" x14ac:dyDescent="0.2">
      <c r="B25" s="149"/>
      <c r="C25" s="150"/>
      <c r="D25" s="150"/>
      <c r="E25" s="150"/>
      <c r="F25" s="150"/>
      <c r="G25" s="150"/>
      <c r="H25" s="151"/>
    </row>
    <row r="26" spans="1:8" x14ac:dyDescent="0.2">
      <c r="B26" s="149"/>
      <c r="C26" s="150"/>
      <c r="D26" s="150"/>
      <c r="E26" s="150"/>
      <c r="F26" s="150"/>
      <c r="G26" s="150"/>
      <c r="H26" s="151"/>
    </row>
    <row r="27" spans="1:8" x14ac:dyDescent="0.2">
      <c r="B27" s="149"/>
      <c r="C27" s="150"/>
      <c r="D27" s="150"/>
      <c r="E27" s="150"/>
      <c r="F27" s="150"/>
      <c r="G27" s="150"/>
      <c r="H27" s="151"/>
    </row>
    <row r="28" spans="1:8" ht="13.5" thickBot="1" x14ac:dyDescent="0.25">
      <c r="B28" s="152"/>
      <c r="C28" s="153"/>
      <c r="D28" s="153"/>
      <c r="E28" s="153"/>
      <c r="F28" s="153"/>
      <c r="G28" s="153"/>
      <c r="H28" s="154"/>
    </row>
    <row r="29" spans="1:8" x14ac:dyDescent="0.2">
      <c r="B29" s="139"/>
      <c r="C29" s="139"/>
      <c r="D29" s="139"/>
      <c r="E29" s="139"/>
      <c r="F29" s="139"/>
      <c r="G29" s="139"/>
      <c r="H29" s="139"/>
    </row>
    <row r="30" spans="1:8" ht="20.25" customHeight="1" x14ac:dyDescent="0.2">
      <c r="A30" s="139"/>
      <c r="B30" s="139"/>
      <c r="C30" s="139"/>
      <c r="D30" s="139"/>
      <c r="E30" s="139"/>
      <c r="F30" s="139"/>
      <c r="G30" s="139"/>
    </row>
    <row r="31" spans="1:8" ht="42" customHeight="1" x14ac:dyDescent="0.2">
      <c r="A31" t="s">
        <v>97</v>
      </c>
    </row>
    <row r="32" spans="1:8" ht="42" customHeight="1" x14ac:dyDescent="0.2">
      <c r="A32" t="s">
        <v>98</v>
      </c>
    </row>
    <row r="33" spans="1:1" ht="42" customHeight="1" x14ac:dyDescent="0.2">
      <c r="A33" t="s">
        <v>99</v>
      </c>
    </row>
  </sheetData>
  <mergeCells count="3">
    <mergeCell ref="B1:H6"/>
    <mergeCell ref="B7:H10"/>
    <mergeCell ref="B11:H28"/>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zoomScale="90" zoomScaleNormal="90" workbookViewId="0">
      <selection activeCell="A38" sqref="A38"/>
    </sheetView>
  </sheetViews>
  <sheetFormatPr defaultRowHeight="12.75" x14ac:dyDescent="0.2"/>
  <cols>
    <col min="1" max="1" width="35.28515625" customWidth="1"/>
    <col min="2" max="2" width="34.7109375" customWidth="1"/>
    <col min="3" max="3" width="24" customWidth="1"/>
  </cols>
  <sheetData>
    <row r="1" spans="1:3" x14ac:dyDescent="0.2">
      <c r="A1" s="10" t="s">
        <v>26</v>
      </c>
      <c r="B1" s="10" t="s">
        <v>54</v>
      </c>
      <c r="C1" s="10" t="s">
        <v>55</v>
      </c>
    </row>
    <row r="2" spans="1:3" x14ac:dyDescent="0.2">
      <c r="A2" s="2" t="s">
        <v>27</v>
      </c>
      <c r="B2" s="1" t="s">
        <v>28</v>
      </c>
      <c r="C2" s="1" t="s">
        <v>28</v>
      </c>
    </row>
    <row r="3" spans="1:3" x14ac:dyDescent="0.2">
      <c r="A3" s="2" t="s">
        <v>29</v>
      </c>
      <c r="B3" s="1" t="s">
        <v>30</v>
      </c>
      <c r="C3" s="1" t="s">
        <v>30</v>
      </c>
    </row>
    <row r="4" spans="1:3" x14ac:dyDescent="0.2">
      <c r="A4" s="2" t="s">
        <v>31</v>
      </c>
      <c r="B4" s="25" t="s">
        <v>57</v>
      </c>
      <c r="C4" s="21"/>
    </row>
    <row r="5" spans="1:3" ht="38.25" x14ac:dyDescent="0.2">
      <c r="A5" s="3" t="s">
        <v>32</v>
      </c>
      <c r="B5" s="24" t="s">
        <v>58</v>
      </c>
      <c r="C5" s="9"/>
    </row>
    <row r="6" spans="1:3" x14ac:dyDescent="0.2">
      <c r="A6" s="2" t="s">
        <v>42</v>
      </c>
      <c r="B6" s="1" t="s">
        <v>33</v>
      </c>
      <c r="C6" s="1" t="s">
        <v>33</v>
      </c>
    </row>
    <row r="7" spans="1:3" x14ac:dyDescent="0.2">
      <c r="A7" s="2" t="s">
        <v>34</v>
      </c>
      <c r="B7" s="11">
        <v>5.3310000000000004</v>
      </c>
      <c r="C7" s="11">
        <f>6.1002</f>
        <v>6.1002000000000001</v>
      </c>
    </row>
    <row r="8" spans="1:3" x14ac:dyDescent="0.2">
      <c r="A8" s="2" t="s">
        <v>35</v>
      </c>
      <c r="B8" s="11">
        <v>5.6645000000000003</v>
      </c>
      <c r="C8" s="11">
        <v>6.5960000000000001</v>
      </c>
    </row>
    <row r="9" spans="1:3" x14ac:dyDescent="0.2">
      <c r="A9" s="2" t="s">
        <v>36</v>
      </c>
      <c r="B9" s="11">
        <v>4.8127399999999998</v>
      </c>
      <c r="C9" s="11">
        <v>6.5960000000000001</v>
      </c>
    </row>
    <row r="10" spans="1:3" x14ac:dyDescent="0.2">
      <c r="A10" s="4" t="s">
        <v>37</v>
      </c>
      <c r="B10" s="11">
        <v>1.9811000000000001</v>
      </c>
      <c r="C10" s="11">
        <v>2.3010000000000002</v>
      </c>
    </row>
    <row r="11" spans="1:3" x14ac:dyDescent="0.2">
      <c r="A11" s="5" t="s">
        <v>38</v>
      </c>
      <c r="B11" s="11">
        <f>2.37961/100</f>
        <v>2.3796100000000001E-2</v>
      </c>
      <c r="C11" s="11">
        <v>2.0080000000000001E-2</v>
      </c>
    </row>
    <row r="12" spans="1:3" x14ac:dyDescent="0.2">
      <c r="A12" s="5" t="s">
        <v>39</v>
      </c>
      <c r="B12" s="11">
        <f>2.37645/100</f>
        <v>2.3764500000000001E-2</v>
      </c>
      <c r="C12" s="11">
        <v>2.0080000000000001E-2</v>
      </c>
    </row>
    <row r="13" spans="1:3" x14ac:dyDescent="0.2">
      <c r="A13" s="7" t="s">
        <v>40</v>
      </c>
      <c r="B13" s="11">
        <f>1.1882/100</f>
        <v>1.1881999999999998E-2</v>
      </c>
      <c r="C13" s="11">
        <v>1.225E-2</v>
      </c>
    </row>
    <row r="14" spans="1:3" x14ac:dyDescent="0.2">
      <c r="A14" s="8" t="s">
        <v>41</v>
      </c>
      <c r="B14" s="20">
        <v>1.0932999999999999</v>
      </c>
      <c r="C14" s="20">
        <v>1.1052999999999999</v>
      </c>
    </row>
    <row r="15" spans="1:3" x14ac:dyDescent="0.2">
      <c r="A15" s="16" t="s">
        <v>49</v>
      </c>
      <c r="B15" s="22"/>
      <c r="C15" s="23"/>
    </row>
    <row r="16" spans="1:3" x14ac:dyDescent="0.2">
      <c r="A16" s="19" t="s">
        <v>52</v>
      </c>
      <c r="B16" s="17"/>
      <c r="C16" s="18"/>
    </row>
    <row r="17" spans="1:3" x14ac:dyDescent="0.2">
      <c r="A17" s="5" t="s">
        <v>51</v>
      </c>
      <c r="B17" s="12">
        <f>(((0.24845+0.06012+0.06303)/1000))-B18</f>
        <v>3.6397000000000003E-4</v>
      </c>
      <c r="C17" s="13">
        <f>(((0.2551+0.043+0.05761)/1000))-C18</f>
        <v>3.4631999999999995E-4</v>
      </c>
    </row>
    <row r="18" spans="1:3" x14ac:dyDescent="0.2">
      <c r="A18" s="6" t="s">
        <v>50</v>
      </c>
      <c r="B18" s="14">
        <f>0.00763/1000</f>
        <v>7.6299999999999998E-6</v>
      </c>
      <c r="C18" s="15">
        <f>0.00939/1000</f>
        <v>9.3900000000000016E-6</v>
      </c>
    </row>
    <row r="21" spans="1:3" x14ac:dyDescent="0.2">
      <c r="A21" t="s">
        <v>68</v>
      </c>
      <c r="B21" s="26">
        <v>1.032294</v>
      </c>
      <c r="C21" s="27">
        <f>B21</f>
        <v>1.032294</v>
      </c>
    </row>
  </sheetData>
  <phoneticPr fontId="3"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8"/>
  <sheetViews>
    <sheetView zoomScale="82" zoomScaleNormal="82" workbookViewId="0">
      <selection activeCell="K3" sqref="K3"/>
    </sheetView>
  </sheetViews>
  <sheetFormatPr defaultRowHeight="12.75" x14ac:dyDescent="0.2"/>
  <cols>
    <col min="1" max="1" width="25.7109375" style="28" customWidth="1"/>
    <col min="2" max="2" width="12.140625" style="28" customWidth="1"/>
    <col min="3" max="3" width="10.28515625" style="28" customWidth="1"/>
    <col min="4" max="4" width="13.28515625" style="28" customWidth="1"/>
    <col min="5" max="5" width="12.42578125" style="28" bestFit="1" customWidth="1"/>
    <col min="6" max="6" width="11.5703125" style="28" bestFit="1" customWidth="1"/>
    <col min="7" max="7" width="1" style="43" customWidth="1"/>
    <col min="8" max="8" width="25.140625" style="43" customWidth="1"/>
    <col min="9" max="9" width="1" style="43" customWidth="1"/>
    <col min="10" max="10" width="26.85546875" style="28" bestFit="1" customWidth="1"/>
    <col min="11" max="11" width="12.85546875" style="28" bestFit="1" customWidth="1"/>
    <col min="12" max="12" width="9.28515625" style="28" bestFit="1" customWidth="1"/>
    <col min="13" max="13" width="12.42578125" style="28" bestFit="1" customWidth="1"/>
    <col min="14" max="14" width="14.85546875" style="28" customWidth="1"/>
    <col min="15" max="15" width="12.42578125" style="28" bestFit="1" customWidth="1"/>
    <col min="16" max="16384" width="9.140625" style="28"/>
  </cols>
  <sheetData>
    <row r="1" spans="1:15" s="140" customFormat="1" ht="78.75" customHeight="1" x14ac:dyDescent="0.2">
      <c r="A1" s="158" t="s">
        <v>96</v>
      </c>
      <c r="B1" s="158"/>
      <c r="C1" s="158"/>
      <c r="D1" s="158"/>
      <c r="E1" s="158"/>
      <c r="F1" s="158"/>
      <c r="G1" s="158"/>
      <c r="H1" s="158"/>
      <c r="I1" s="158"/>
      <c r="J1" s="158"/>
      <c r="K1" s="158"/>
      <c r="L1" s="158"/>
      <c r="M1" s="158"/>
      <c r="N1" s="158"/>
      <c r="O1" s="158"/>
    </row>
    <row r="2" spans="1:15" s="37" customFormat="1" ht="25.5" customHeight="1" x14ac:dyDescent="0.2">
      <c r="A2" s="29" t="s">
        <v>25</v>
      </c>
      <c r="B2" s="30">
        <v>41061</v>
      </c>
      <c r="C2" s="31" t="s">
        <v>53</v>
      </c>
      <c r="D2" s="32" t="s">
        <v>60</v>
      </c>
      <c r="E2" s="33"/>
      <c r="F2" s="34"/>
      <c r="G2" s="35"/>
      <c r="H2" s="35"/>
      <c r="I2" s="36"/>
      <c r="J2" s="29" t="s">
        <v>25</v>
      </c>
      <c r="K2" s="30">
        <v>41061</v>
      </c>
      <c r="L2" s="33"/>
      <c r="M2" s="31" t="s">
        <v>53</v>
      </c>
      <c r="N2" s="32" t="s">
        <v>61</v>
      </c>
      <c r="O2" s="34"/>
    </row>
    <row r="3" spans="1:15" x14ac:dyDescent="0.2">
      <c r="A3" s="39" t="s">
        <v>0</v>
      </c>
      <c r="B3" s="40"/>
      <c r="C3" s="40"/>
      <c r="D3" s="40"/>
      <c r="E3" s="40"/>
      <c r="F3" s="41"/>
      <c r="G3" s="42"/>
      <c r="H3" s="42"/>
      <c r="J3" s="39" t="s">
        <v>0</v>
      </c>
      <c r="K3" s="40"/>
      <c r="L3" s="40"/>
      <c r="M3" s="40"/>
      <c r="N3" s="40"/>
      <c r="O3" s="41"/>
    </row>
    <row r="4" spans="1:15" x14ac:dyDescent="0.2">
      <c r="A4" s="45"/>
      <c r="B4" s="46" t="s">
        <v>4</v>
      </c>
      <c r="C4" s="46" t="s">
        <v>5</v>
      </c>
      <c r="D4" s="46" t="s">
        <v>6</v>
      </c>
      <c r="E4" s="46" t="s">
        <v>7</v>
      </c>
      <c r="F4" s="47" t="s">
        <v>8</v>
      </c>
      <c r="G4" s="48"/>
      <c r="H4" s="48"/>
      <c r="J4" s="45"/>
      <c r="K4" s="46" t="s">
        <v>4</v>
      </c>
      <c r="L4" s="46" t="s">
        <v>5</v>
      </c>
      <c r="M4" s="46" t="s">
        <v>6</v>
      </c>
      <c r="N4" s="46" t="s">
        <v>7</v>
      </c>
      <c r="O4" s="47" t="s">
        <v>8</v>
      </c>
    </row>
    <row r="5" spans="1:15" x14ac:dyDescent="0.2">
      <c r="A5" s="45" t="s">
        <v>1</v>
      </c>
      <c r="B5" s="79">
        <v>150000</v>
      </c>
      <c r="C5" s="50">
        <f>'Tariff Details'!B14*'Tariff Details'!B21-1</f>
        <v>0.12860703019999997</v>
      </c>
      <c r="D5" s="82">
        <f>B5*(1+C5)</f>
        <v>169291.05452999999</v>
      </c>
      <c r="E5" s="51">
        <v>5.6042000000000002E-2</v>
      </c>
      <c r="F5" s="84">
        <f>D5*E5</f>
        <v>9487.4092779702605</v>
      </c>
      <c r="G5" s="52"/>
      <c r="H5" s="155" t="s">
        <v>69</v>
      </c>
      <c r="J5" s="45" t="s">
        <v>1</v>
      </c>
      <c r="K5" s="79">
        <f>B5</f>
        <v>150000</v>
      </c>
      <c r="L5" s="50">
        <f>'Tariff Details'!C14*'Tariff Details'!C21-1</f>
        <v>0.14099455820000006</v>
      </c>
      <c r="M5" s="82">
        <f>K5*(1+L5)</f>
        <v>171149.18373000002</v>
      </c>
      <c r="N5" s="51">
        <v>5.6042000000000002E-2</v>
      </c>
      <c r="O5" s="84">
        <f>M5*N5</f>
        <v>9591.5425545966609</v>
      </c>
    </row>
    <row r="6" spans="1:15" x14ac:dyDescent="0.2">
      <c r="A6" s="45" t="s">
        <v>2</v>
      </c>
      <c r="B6" s="79">
        <v>300000</v>
      </c>
      <c r="C6" s="54">
        <f>C5</f>
        <v>0.12860703019999997</v>
      </c>
      <c r="D6" s="82">
        <f>B6*(1+C6)</f>
        <v>338582.10905999999</v>
      </c>
      <c r="E6" s="51">
        <v>5.6042000000000002E-2</v>
      </c>
      <c r="F6" s="84">
        <f>D6*E6</f>
        <v>18974.818555940521</v>
      </c>
      <c r="G6" s="52"/>
      <c r="H6" s="156"/>
      <c r="J6" s="45" t="s">
        <v>2</v>
      </c>
      <c r="K6" s="79">
        <f>B6</f>
        <v>300000</v>
      </c>
      <c r="L6" s="54">
        <f>L5</f>
        <v>0.14099455820000006</v>
      </c>
      <c r="M6" s="82">
        <f>K6*(1+L6)</f>
        <v>342298.36746000004</v>
      </c>
      <c r="N6" s="51">
        <v>5.6042000000000002E-2</v>
      </c>
      <c r="O6" s="84">
        <f>M6*N6</f>
        <v>19183.085109193322</v>
      </c>
    </row>
    <row r="7" spans="1:15" x14ac:dyDescent="0.2">
      <c r="A7" s="45" t="s">
        <v>3</v>
      </c>
      <c r="B7" s="79">
        <v>450000</v>
      </c>
      <c r="C7" s="50">
        <f>C5</f>
        <v>0.12860703019999997</v>
      </c>
      <c r="D7" s="82">
        <f>B7*(1+C7)</f>
        <v>507873.16359000001</v>
      </c>
      <c r="E7" s="51">
        <v>2.5481E-2</v>
      </c>
      <c r="F7" s="84">
        <f>D7*E7</f>
        <v>12941.11608143679</v>
      </c>
      <c r="G7" s="52"/>
      <c r="H7" s="156"/>
      <c r="J7" s="45" t="s">
        <v>3</v>
      </c>
      <c r="K7" s="79">
        <f>B7</f>
        <v>450000</v>
      </c>
      <c r="L7" s="50">
        <f>L5</f>
        <v>0.14099455820000006</v>
      </c>
      <c r="M7" s="82">
        <f>K7*(1+L7)</f>
        <v>513447.55119000003</v>
      </c>
      <c r="N7" s="51">
        <v>2.5481E-2</v>
      </c>
      <c r="O7" s="84">
        <f>M7*N7</f>
        <v>13083.157051872391</v>
      </c>
    </row>
    <row r="8" spans="1:15" x14ac:dyDescent="0.2">
      <c r="A8" s="45"/>
      <c r="B8" s="80"/>
      <c r="C8" s="57"/>
      <c r="D8" s="80"/>
      <c r="E8" s="57"/>
      <c r="F8" s="85"/>
      <c r="G8" s="58"/>
      <c r="H8" s="156"/>
      <c r="J8" s="45"/>
      <c r="K8" s="80"/>
      <c r="L8" s="57"/>
      <c r="M8" s="80"/>
      <c r="N8" s="57"/>
      <c r="O8" s="85"/>
    </row>
    <row r="9" spans="1:15" x14ac:dyDescent="0.2">
      <c r="A9" s="45" t="s">
        <v>9</v>
      </c>
      <c r="B9" s="81">
        <f>SUM(B5:B8)</f>
        <v>900000</v>
      </c>
      <c r="C9" s="57"/>
      <c r="D9" s="81">
        <f>SUM(D5:D8)</f>
        <v>1015746.32718</v>
      </c>
      <c r="E9" s="57"/>
      <c r="F9" s="86">
        <f>SUM(F5:F8)</f>
        <v>41403.34391534757</v>
      </c>
      <c r="G9" s="60"/>
      <c r="H9" s="157"/>
      <c r="J9" s="45" t="s">
        <v>9</v>
      </c>
      <c r="K9" s="81">
        <f>SUM(K5:K8)</f>
        <v>900000</v>
      </c>
      <c r="L9" s="57"/>
      <c r="M9" s="81">
        <f>SUM(M5:M8)</f>
        <v>1026895.1023800001</v>
      </c>
      <c r="N9" s="57"/>
      <c r="O9" s="86">
        <f>SUM(O5:O8)</f>
        <v>41857.784715662376</v>
      </c>
    </row>
    <row r="10" spans="1:15" x14ac:dyDescent="0.2">
      <c r="A10" s="45"/>
      <c r="B10" s="57"/>
      <c r="C10" s="57"/>
      <c r="D10" s="57"/>
      <c r="E10" s="57"/>
      <c r="F10" s="85"/>
      <c r="G10" s="58"/>
      <c r="H10" s="58"/>
      <c r="J10" s="45"/>
      <c r="K10" s="57"/>
      <c r="L10" s="57"/>
      <c r="M10" s="57"/>
      <c r="N10" s="57"/>
      <c r="O10" s="85"/>
    </row>
    <row r="11" spans="1:15" x14ac:dyDescent="0.2">
      <c r="A11" s="39" t="s">
        <v>10</v>
      </c>
      <c r="B11" s="40"/>
      <c r="C11" s="40"/>
      <c r="D11" s="40"/>
      <c r="E11" s="40"/>
      <c r="F11" s="87"/>
      <c r="G11" s="42"/>
      <c r="H11" s="42"/>
      <c r="J11" s="39" t="s">
        <v>10</v>
      </c>
      <c r="K11" s="40"/>
      <c r="L11" s="40"/>
      <c r="M11" s="40"/>
      <c r="N11" s="40"/>
      <c r="O11" s="87"/>
    </row>
    <row r="12" spans="1:15" x14ac:dyDescent="0.2">
      <c r="A12" s="45"/>
      <c r="B12" s="57"/>
      <c r="C12" s="57"/>
      <c r="D12" s="57"/>
      <c r="E12" s="57"/>
      <c r="F12" s="85"/>
      <c r="G12" s="58"/>
      <c r="H12" s="58"/>
      <c r="J12" s="45"/>
      <c r="K12" s="57"/>
      <c r="L12" s="57"/>
      <c r="M12" s="57"/>
      <c r="N12" s="57"/>
      <c r="O12" s="85"/>
    </row>
    <row r="13" spans="1:15" ht="12.75" customHeight="1" x14ac:dyDescent="0.2">
      <c r="A13" s="45" t="s">
        <v>11</v>
      </c>
      <c r="B13" s="82">
        <f>$B$9</f>
        <v>900000</v>
      </c>
      <c r="C13" s="50">
        <f>C5</f>
        <v>0.12860703019999997</v>
      </c>
      <c r="D13" s="82">
        <f>B13*(1+C13)</f>
        <v>1015746.32718</v>
      </c>
      <c r="E13" s="62">
        <v>7.6299999999999998E-6</v>
      </c>
      <c r="F13" s="84">
        <f>E13*D13</f>
        <v>7.7501444763834</v>
      </c>
      <c r="G13" s="52"/>
      <c r="H13" s="155" t="s">
        <v>70</v>
      </c>
      <c r="J13" s="45" t="s">
        <v>11</v>
      </c>
      <c r="K13" s="82">
        <f>$B$9</f>
        <v>900000</v>
      </c>
      <c r="L13" s="54">
        <f>L5</f>
        <v>0.14099455820000006</v>
      </c>
      <c r="M13" s="82">
        <f>K13*(1+L13)</f>
        <v>1026895.1023800001</v>
      </c>
      <c r="N13" s="62">
        <v>7.6299999999999998E-6</v>
      </c>
      <c r="O13" s="84">
        <f>N13*M13</f>
        <v>7.8352096311594002</v>
      </c>
    </row>
    <row r="14" spans="1:15" x14ac:dyDescent="0.2">
      <c r="A14" s="45" t="s">
        <v>64</v>
      </c>
      <c r="B14" s="82">
        <f>$B$9</f>
        <v>900000</v>
      </c>
      <c r="C14" s="54">
        <f>C13</f>
        <v>0.12860703019999997</v>
      </c>
      <c r="D14" s="82">
        <f>B14*(1+C14)</f>
        <v>1015746.32718</v>
      </c>
      <c r="E14" s="63">
        <v>5.0000000000000001E-4</v>
      </c>
      <c r="F14" s="84">
        <f>E14*D14</f>
        <v>507.87316359000005</v>
      </c>
      <c r="G14" s="52"/>
      <c r="H14" s="156"/>
      <c r="J14" s="45" t="s">
        <v>64</v>
      </c>
      <c r="K14" s="82">
        <f>$B$9</f>
        <v>900000</v>
      </c>
      <c r="L14" s="54">
        <f>L13</f>
        <v>0.14099455820000006</v>
      </c>
      <c r="M14" s="82">
        <f>K14*(1+L14)</f>
        <v>1026895.1023800001</v>
      </c>
      <c r="N14" s="63">
        <v>5.0000000000000001E-4</v>
      </c>
      <c r="O14" s="84">
        <f>N14*M14</f>
        <v>513.44755119000001</v>
      </c>
    </row>
    <row r="15" spans="1:15" x14ac:dyDescent="0.2">
      <c r="A15" s="45" t="s">
        <v>12</v>
      </c>
      <c r="B15" s="82">
        <f>$B$9</f>
        <v>900000</v>
      </c>
      <c r="C15" s="54">
        <f>C14</f>
        <v>0.12860703019999997</v>
      </c>
      <c r="D15" s="82">
        <f>B15*(1+C15)</f>
        <v>1015746.32718</v>
      </c>
      <c r="E15" s="64">
        <v>8.2200000000000003E-4</v>
      </c>
      <c r="F15" s="84">
        <f>E15*D15</f>
        <v>834.94348094196005</v>
      </c>
      <c r="G15" s="52"/>
      <c r="H15" s="156"/>
      <c r="J15" s="45" t="s">
        <v>12</v>
      </c>
      <c r="K15" s="82">
        <f>$B$9</f>
        <v>900000</v>
      </c>
      <c r="L15" s="54">
        <f>L14</f>
        <v>0.14099455820000006</v>
      </c>
      <c r="M15" s="82">
        <f>K15*(1+L15)</f>
        <v>1026895.1023800001</v>
      </c>
      <c r="N15" s="64">
        <v>8.2200000000000003E-4</v>
      </c>
      <c r="O15" s="84">
        <f>N15*M15</f>
        <v>844.10777415636005</v>
      </c>
    </row>
    <row r="16" spans="1:15" x14ac:dyDescent="0.2">
      <c r="A16" s="45" t="s">
        <v>13</v>
      </c>
      <c r="B16" s="82">
        <f>$B$9</f>
        <v>900000</v>
      </c>
      <c r="C16" s="54">
        <f>C15</f>
        <v>0.12860703019999997</v>
      </c>
      <c r="D16" s="82">
        <f>B16*(1+C16)</f>
        <v>1015746.32718</v>
      </c>
      <c r="E16" s="64">
        <v>1.6509999999999999E-3</v>
      </c>
      <c r="F16" s="84">
        <f>E16*D16</f>
        <v>1676.9971861741799</v>
      </c>
      <c r="G16" s="52"/>
      <c r="H16" s="156"/>
      <c r="J16" s="45" t="s">
        <v>13</v>
      </c>
      <c r="K16" s="82">
        <f>$B$9</f>
        <v>900000</v>
      </c>
      <c r="L16" s="54">
        <f>L15</f>
        <v>0.14099455820000006</v>
      </c>
      <c r="M16" s="82">
        <f>K16*(1+L16)</f>
        <v>1026895.1023800001</v>
      </c>
      <c r="N16" s="64">
        <v>1.6509999999999999E-3</v>
      </c>
      <c r="O16" s="84">
        <f>N16*M16</f>
        <v>1695.4038140293801</v>
      </c>
    </row>
    <row r="17" spans="1:15" x14ac:dyDescent="0.2">
      <c r="A17" s="45" t="s">
        <v>65</v>
      </c>
      <c r="B17" s="82">
        <f>$B$9</f>
        <v>900000</v>
      </c>
      <c r="C17" s="54">
        <f>C16</f>
        <v>0.12860703019999997</v>
      </c>
      <c r="D17" s="82">
        <f>B17*(1+C17)</f>
        <v>1015746.32718</v>
      </c>
      <c r="E17" s="62">
        <v>3.6397000000000003E-4</v>
      </c>
      <c r="F17" s="84">
        <f>E17*D17</f>
        <v>369.70119070370464</v>
      </c>
      <c r="G17" s="52"/>
      <c r="H17" s="156"/>
      <c r="J17" s="45" t="s">
        <v>65</v>
      </c>
      <c r="K17" s="82">
        <f>$B$9</f>
        <v>900000</v>
      </c>
      <c r="L17" s="54">
        <f>L16</f>
        <v>0.14099455820000006</v>
      </c>
      <c r="M17" s="82">
        <f>K17*(1+L17)</f>
        <v>1026895.1023800001</v>
      </c>
      <c r="N17" s="62">
        <v>3.6397000000000003E-4</v>
      </c>
      <c r="O17" s="84">
        <f>N17*M17</f>
        <v>373.75901041324863</v>
      </c>
    </row>
    <row r="18" spans="1:15" x14ac:dyDescent="0.2">
      <c r="A18" s="45"/>
      <c r="B18" s="57"/>
      <c r="C18" s="57"/>
      <c r="D18" s="57"/>
      <c r="E18" s="57"/>
      <c r="F18" s="85"/>
      <c r="G18" s="58"/>
      <c r="H18" s="156"/>
      <c r="J18" s="45"/>
      <c r="K18" s="57"/>
      <c r="L18" s="57"/>
      <c r="M18" s="57"/>
      <c r="N18" s="57"/>
      <c r="O18" s="85"/>
    </row>
    <row r="19" spans="1:15" x14ac:dyDescent="0.2">
      <c r="A19" s="45" t="s">
        <v>9</v>
      </c>
      <c r="B19" s="57"/>
      <c r="C19" s="57"/>
      <c r="D19" s="57"/>
      <c r="E19" s="57"/>
      <c r="F19" s="86">
        <f>SUM(F13:F18)</f>
        <v>3397.2651658862278</v>
      </c>
      <c r="G19" s="60"/>
      <c r="H19" s="157"/>
      <c r="J19" s="45" t="s">
        <v>9</v>
      </c>
      <c r="K19" s="57"/>
      <c r="L19" s="57"/>
      <c r="M19" s="57"/>
      <c r="N19" s="57"/>
      <c r="O19" s="86">
        <f>SUM(O13:O18)</f>
        <v>3434.5533594201484</v>
      </c>
    </row>
    <row r="20" spans="1:15" x14ac:dyDescent="0.2">
      <c r="A20" s="39" t="s">
        <v>14</v>
      </c>
      <c r="B20" s="40"/>
      <c r="C20" s="40"/>
      <c r="D20" s="40"/>
      <c r="E20" s="40"/>
      <c r="F20" s="87"/>
      <c r="G20" s="42"/>
      <c r="H20" s="42"/>
      <c r="J20" s="39" t="s">
        <v>14</v>
      </c>
      <c r="K20" s="40"/>
      <c r="L20" s="40"/>
      <c r="M20" s="40"/>
      <c r="N20" s="40"/>
      <c r="O20" s="87"/>
    </row>
    <row r="21" spans="1:15" x14ac:dyDescent="0.2">
      <c r="A21" s="45" t="s">
        <v>15</v>
      </c>
      <c r="B21" s="82">
        <f>B5</f>
        <v>150000</v>
      </c>
      <c r="C21" s="57"/>
      <c r="D21" s="57"/>
      <c r="E21" s="65">
        <f>'Tariff Details'!B11</f>
        <v>2.3796100000000001E-2</v>
      </c>
      <c r="F21" s="84">
        <f>E21*B21</f>
        <v>3569.415</v>
      </c>
      <c r="G21" s="52"/>
      <c r="H21" s="155" t="s">
        <v>56</v>
      </c>
      <c r="J21" s="45" t="s">
        <v>15</v>
      </c>
      <c r="K21" s="82">
        <f>K5</f>
        <v>150000</v>
      </c>
      <c r="L21" s="57"/>
      <c r="M21" s="57"/>
      <c r="N21" s="65">
        <f>'Tariff Details'!C11</f>
        <v>2.0080000000000001E-2</v>
      </c>
      <c r="O21" s="84">
        <f>N21*K21</f>
        <v>3012</v>
      </c>
    </row>
    <row r="22" spans="1:15" x14ac:dyDescent="0.2">
      <c r="A22" s="45" t="s">
        <v>16</v>
      </c>
      <c r="B22" s="82">
        <f>B6</f>
        <v>300000</v>
      </c>
      <c r="C22" s="57"/>
      <c r="D22" s="57"/>
      <c r="E22" s="65">
        <f>'Tariff Details'!B12</f>
        <v>2.3764500000000001E-2</v>
      </c>
      <c r="F22" s="84">
        <f t="shared" ref="F22:F28" si="0">E22*B22</f>
        <v>7129.35</v>
      </c>
      <c r="G22" s="52"/>
      <c r="H22" s="156"/>
      <c r="J22" s="45" t="s">
        <v>16</v>
      </c>
      <c r="K22" s="82">
        <f>K6</f>
        <v>300000</v>
      </c>
      <c r="L22" s="57"/>
      <c r="M22" s="57"/>
      <c r="N22" s="65">
        <f>'Tariff Details'!C12</f>
        <v>2.0080000000000001E-2</v>
      </c>
      <c r="O22" s="84">
        <f t="shared" ref="O22:O28" si="1">N22*K22</f>
        <v>6024</v>
      </c>
    </row>
    <row r="23" spans="1:15" x14ac:dyDescent="0.2">
      <c r="A23" s="45" t="s">
        <v>17</v>
      </c>
      <c r="B23" s="82">
        <f>B7</f>
        <v>450000</v>
      </c>
      <c r="C23" s="57"/>
      <c r="D23" s="57"/>
      <c r="E23" s="65">
        <f>'Tariff Details'!B13</f>
        <v>1.1881999999999998E-2</v>
      </c>
      <c r="F23" s="84">
        <f t="shared" si="0"/>
        <v>5346.9</v>
      </c>
      <c r="G23" s="52"/>
      <c r="H23" s="156"/>
      <c r="J23" s="45" t="s">
        <v>17</v>
      </c>
      <c r="K23" s="82">
        <f>K7</f>
        <v>450000</v>
      </c>
      <c r="L23" s="57"/>
      <c r="M23" s="57"/>
      <c r="N23" s="65">
        <f>'Tariff Details'!C13</f>
        <v>1.225E-2</v>
      </c>
      <c r="O23" s="84">
        <f t="shared" si="1"/>
        <v>5512.5</v>
      </c>
    </row>
    <row r="24" spans="1:15" x14ac:dyDescent="0.2">
      <c r="A24" s="45" t="s">
        <v>18</v>
      </c>
      <c r="B24" s="79">
        <v>2225</v>
      </c>
      <c r="C24" s="57"/>
      <c r="D24" s="57"/>
      <c r="E24" s="65">
        <f>'Tariff Details'!B8</f>
        <v>5.6645000000000003</v>
      </c>
      <c r="F24" s="84">
        <f t="shared" si="0"/>
        <v>12603.512500000001</v>
      </c>
      <c r="G24" s="52"/>
      <c r="H24" s="156"/>
      <c r="J24" s="45" t="s">
        <v>18</v>
      </c>
      <c r="K24" s="79">
        <v>2225</v>
      </c>
      <c r="L24" s="57"/>
      <c r="M24" s="57"/>
      <c r="N24" s="65">
        <f>'Tariff Details'!C8</f>
        <v>6.5960000000000001</v>
      </c>
      <c r="O24" s="84">
        <f t="shared" si="1"/>
        <v>14676.1</v>
      </c>
    </row>
    <row r="25" spans="1:15" x14ac:dyDescent="0.2">
      <c r="A25" s="45" t="s">
        <v>19</v>
      </c>
      <c r="B25" s="79">
        <v>2293</v>
      </c>
      <c r="C25" s="57"/>
      <c r="D25" s="57"/>
      <c r="E25" s="65">
        <f>'Tariff Details'!B9</f>
        <v>4.8127399999999998</v>
      </c>
      <c r="F25" s="84">
        <f t="shared" si="0"/>
        <v>11035.61282</v>
      </c>
      <c r="G25" s="52"/>
      <c r="H25" s="156"/>
      <c r="J25" s="45" t="s">
        <v>19</v>
      </c>
      <c r="K25" s="79">
        <v>2293</v>
      </c>
      <c r="L25" s="57"/>
      <c r="M25" s="57"/>
      <c r="N25" s="65">
        <f>'Tariff Details'!C9</f>
        <v>6.5960000000000001</v>
      </c>
      <c r="O25" s="84">
        <f t="shared" si="1"/>
        <v>15124.628000000001</v>
      </c>
    </row>
    <row r="26" spans="1:15" x14ac:dyDescent="0.2">
      <c r="A26" s="45" t="s">
        <v>20</v>
      </c>
      <c r="B26" s="79">
        <v>2264</v>
      </c>
      <c r="C26" s="57"/>
      <c r="D26" s="57"/>
      <c r="E26" s="65">
        <f>'Tariff Details'!B10</f>
        <v>1.9811000000000001</v>
      </c>
      <c r="F26" s="84">
        <f t="shared" si="0"/>
        <v>4485.2103999999999</v>
      </c>
      <c r="G26" s="52"/>
      <c r="H26" s="156"/>
      <c r="J26" s="45" t="s">
        <v>20</v>
      </c>
      <c r="K26" s="79">
        <v>2264</v>
      </c>
      <c r="L26" s="57"/>
      <c r="M26" s="57"/>
      <c r="N26" s="65">
        <f>'Tariff Details'!C10</f>
        <v>2.3010000000000002</v>
      </c>
      <c r="O26" s="84">
        <f t="shared" si="1"/>
        <v>5209.4639999999999</v>
      </c>
    </row>
    <row r="27" spans="1:15" x14ac:dyDescent="0.2">
      <c r="A27" s="45" t="s">
        <v>21</v>
      </c>
      <c r="B27" s="83">
        <v>31</v>
      </c>
      <c r="C27" s="57"/>
      <c r="D27" s="57"/>
      <c r="E27" s="51">
        <v>2.7</v>
      </c>
      <c r="F27" s="84">
        <f t="shared" si="0"/>
        <v>83.7</v>
      </c>
      <c r="G27" s="52"/>
      <c r="H27" s="156"/>
      <c r="J27" s="45" t="s">
        <v>21</v>
      </c>
      <c r="K27" s="83">
        <v>31</v>
      </c>
      <c r="L27" s="57"/>
      <c r="M27" s="57"/>
      <c r="N27" s="51">
        <v>2.7</v>
      </c>
      <c r="O27" s="84">
        <f t="shared" si="1"/>
        <v>83.7</v>
      </c>
    </row>
    <row r="28" spans="1:15" x14ac:dyDescent="0.2">
      <c r="A28" s="45" t="s">
        <v>22</v>
      </c>
      <c r="B28" s="83">
        <v>31</v>
      </c>
      <c r="C28" s="57"/>
      <c r="D28" s="57"/>
      <c r="E28" s="65">
        <f>'Tariff Details'!B7</f>
        <v>5.3310000000000004</v>
      </c>
      <c r="F28" s="84">
        <f t="shared" si="0"/>
        <v>165.26100000000002</v>
      </c>
      <c r="G28" s="52"/>
      <c r="H28" s="157"/>
      <c r="J28" s="45" t="s">
        <v>22</v>
      </c>
      <c r="K28" s="83">
        <v>31</v>
      </c>
      <c r="L28" s="57"/>
      <c r="M28" s="57"/>
      <c r="N28" s="65">
        <f>'Tariff Details'!C7</f>
        <v>6.1002000000000001</v>
      </c>
      <c r="O28" s="84">
        <f t="shared" si="1"/>
        <v>189.1062</v>
      </c>
    </row>
    <row r="29" spans="1:15" x14ac:dyDescent="0.2">
      <c r="A29" s="45"/>
      <c r="B29" s="57"/>
      <c r="C29" s="57"/>
      <c r="D29" s="57"/>
      <c r="E29" s="57"/>
      <c r="F29" s="85"/>
      <c r="G29" s="58"/>
      <c r="H29" s="58"/>
      <c r="J29" s="45"/>
      <c r="K29" s="57"/>
      <c r="L29" s="57"/>
      <c r="M29" s="57"/>
      <c r="N29" s="57"/>
      <c r="O29" s="85"/>
    </row>
    <row r="30" spans="1:15" ht="15" x14ac:dyDescent="0.2">
      <c r="A30" s="45" t="s">
        <v>9</v>
      </c>
      <c r="B30" s="57"/>
      <c r="C30" s="57"/>
      <c r="D30" s="57"/>
      <c r="E30" s="57"/>
      <c r="F30" s="86">
        <f>SUM(F21:F29)</f>
        <v>44418.961719999992</v>
      </c>
      <c r="G30" s="60"/>
      <c r="H30" s="38" t="s">
        <v>48</v>
      </c>
      <c r="J30" s="45" t="s">
        <v>9</v>
      </c>
      <c r="K30" s="57"/>
      <c r="L30" s="57"/>
      <c r="M30" s="57"/>
      <c r="N30" s="57"/>
      <c r="O30" s="86">
        <f>SUM(O21:O29)</f>
        <v>49831.498200000002</v>
      </c>
    </row>
    <row r="31" spans="1:15" x14ac:dyDescent="0.2">
      <c r="A31" s="45"/>
      <c r="B31" s="57"/>
      <c r="C31" s="57"/>
      <c r="D31" s="57"/>
      <c r="E31" s="57"/>
      <c r="F31" s="85"/>
      <c r="G31" s="58"/>
      <c r="H31" s="44" t="s">
        <v>43</v>
      </c>
      <c r="J31" s="45"/>
      <c r="K31" s="57"/>
      <c r="L31" s="57"/>
      <c r="M31" s="57"/>
      <c r="N31" s="57"/>
      <c r="O31" s="85"/>
    </row>
    <row r="32" spans="1:15" ht="25.5" x14ac:dyDescent="0.2">
      <c r="A32" s="66" t="s">
        <v>9</v>
      </c>
      <c r="B32" s="67"/>
      <c r="C32" s="67"/>
      <c r="D32" s="67"/>
      <c r="E32" s="67"/>
      <c r="F32" s="88">
        <f>F30+F19+F9</f>
        <v>89219.570801233785</v>
      </c>
      <c r="G32" s="68"/>
      <c r="H32" s="49" t="s">
        <v>44</v>
      </c>
      <c r="J32" s="66" t="s">
        <v>9</v>
      </c>
      <c r="K32" s="67"/>
      <c r="L32" s="67"/>
      <c r="M32" s="67"/>
      <c r="N32" s="67"/>
      <c r="O32" s="88">
        <f>O30+O19+O9</f>
        <v>95123.836275082518</v>
      </c>
    </row>
    <row r="33" spans="1:15" x14ac:dyDescent="0.2">
      <c r="A33" s="45" t="s">
        <v>23</v>
      </c>
      <c r="B33" s="57"/>
      <c r="C33" s="57"/>
      <c r="D33" s="57"/>
      <c r="E33" s="57"/>
      <c r="F33" s="89">
        <f>F32*0.1</f>
        <v>8921.9570801233785</v>
      </c>
      <c r="G33" s="68"/>
      <c r="H33" s="53" t="s">
        <v>67</v>
      </c>
      <c r="J33" s="45" t="s">
        <v>23</v>
      </c>
      <c r="K33" s="57"/>
      <c r="L33" s="57"/>
      <c r="M33" s="57"/>
      <c r="N33" s="57"/>
      <c r="O33" s="89">
        <f>O32*0.1</f>
        <v>9512.3836275082522</v>
      </c>
    </row>
    <row r="34" spans="1:15" x14ac:dyDescent="0.2">
      <c r="A34" s="69" t="s">
        <v>24</v>
      </c>
      <c r="B34" s="70"/>
      <c r="C34" s="70"/>
      <c r="D34" s="70"/>
      <c r="E34" s="70"/>
      <c r="F34" s="90">
        <f>SUM(F32:F33)</f>
        <v>98141.527881357164</v>
      </c>
      <c r="G34" s="71"/>
      <c r="H34" s="55" t="s">
        <v>45</v>
      </c>
      <c r="J34" s="69" t="s">
        <v>24</v>
      </c>
      <c r="K34" s="70"/>
      <c r="L34" s="70"/>
      <c r="M34" s="70"/>
      <c r="N34" s="70"/>
      <c r="O34" s="90">
        <f>SUM(O32:O33)</f>
        <v>104636.21990259078</v>
      </c>
    </row>
    <row r="35" spans="1:15" ht="13.5" thickBot="1" x14ac:dyDescent="0.25">
      <c r="H35" s="56" t="s">
        <v>46</v>
      </c>
    </row>
    <row r="36" spans="1:15" x14ac:dyDescent="0.2">
      <c r="A36" s="93" t="s">
        <v>71</v>
      </c>
      <c r="B36" s="72" t="s">
        <v>59</v>
      </c>
      <c r="C36" s="72" t="s">
        <v>62</v>
      </c>
      <c r="D36" s="73" t="s">
        <v>63</v>
      </c>
      <c r="H36" s="59" t="s">
        <v>47</v>
      </c>
    </row>
    <row r="37" spans="1:15" x14ac:dyDescent="0.2">
      <c r="A37" s="74" t="str">
        <f>D2</f>
        <v>Existing Tariff</v>
      </c>
      <c r="B37" s="91">
        <f>F34</f>
        <v>98141.527881357164</v>
      </c>
      <c r="C37" s="75"/>
      <c r="D37" s="76"/>
      <c r="H37" s="61" t="s">
        <v>66</v>
      </c>
    </row>
    <row r="38" spans="1:15" ht="13.5" thickBot="1" x14ac:dyDescent="0.25">
      <c r="A38" s="77" t="str">
        <f>N2</f>
        <v>Tariff Option 1</v>
      </c>
      <c r="B38" s="92">
        <f>O34</f>
        <v>104636.21990259078</v>
      </c>
      <c r="C38" s="92">
        <f>B37-B38</f>
        <v>-6494.6920212336117</v>
      </c>
      <c r="D38" s="78">
        <f>C38/B37</f>
        <v>-6.6176797543696431E-2</v>
      </c>
    </row>
  </sheetData>
  <mergeCells count="4">
    <mergeCell ref="H21:H28"/>
    <mergeCell ref="H5:H9"/>
    <mergeCell ref="H13:H19"/>
    <mergeCell ref="A1:O1"/>
  </mergeCells>
  <phoneticPr fontId="3" type="noConversion"/>
  <pageMargins left="0.75" right="0.75" top="1" bottom="1" header="0.5" footer="0.5"/>
  <pageSetup paperSize="9" scale="53" orientation="landscape"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K35"/>
  <sheetViews>
    <sheetView zoomScale="89" zoomScaleNormal="89" workbookViewId="0">
      <selection activeCell="I3" sqref="I3"/>
    </sheetView>
  </sheetViews>
  <sheetFormatPr defaultRowHeight="12.75" customHeight="1" x14ac:dyDescent="0.25"/>
  <cols>
    <col min="1" max="1" width="31" style="94" customWidth="1"/>
    <col min="2" max="2" width="11.42578125" style="94" bestFit="1" customWidth="1"/>
    <col min="3" max="3" width="15" style="94" bestFit="1" customWidth="1"/>
    <col min="4" max="4" width="14.5703125" style="94" bestFit="1" customWidth="1"/>
    <col min="5" max="5" width="1.85546875" style="94" customWidth="1"/>
    <col min="6" max="6" width="25.28515625" style="94" customWidth="1"/>
    <col min="7" max="7" width="2" style="94" customWidth="1"/>
    <col min="8" max="8" width="30.85546875" style="94" bestFit="1" customWidth="1"/>
    <col min="9" max="9" width="11.42578125" style="94" bestFit="1" customWidth="1"/>
    <col min="10" max="10" width="17.28515625" style="94" bestFit="1" customWidth="1"/>
    <col min="11" max="11" width="14.5703125" style="94" bestFit="1" customWidth="1"/>
    <col min="12" max="16384" width="9.140625" style="94"/>
  </cols>
  <sheetData>
    <row r="1" spans="1:11" s="141" customFormat="1" ht="56.25" customHeight="1" x14ac:dyDescent="0.25">
      <c r="A1" s="159" t="s">
        <v>95</v>
      </c>
      <c r="B1" s="159"/>
      <c r="C1" s="159"/>
      <c r="D1" s="159"/>
      <c r="E1" s="159"/>
      <c r="F1" s="159"/>
      <c r="G1" s="159"/>
      <c r="H1" s="159"/>
      <c r="I1" s="159"/>
      <c r="J1" s="159"/>
      <c r="K1" s="159"/>
    </row>
    <row r="2" spans="1:11" ht="15" customHeight="1" x14ac:dyDescent="0.25">
      <c r="A2" s="29" t="s">
        <v>25</v>
      </c>
      <c r="B2" s="30">
        <v>41061</v>
      </c>
      <c r="C2" s="33" t="s">
        <v>60</v>
      </c>
      <c r="D2" s="34"/>
      <c r="E2" s="35"/>
      <c r="F2" s="35"/>
      <c r="G2" s="36"/>
      <c r="H2" s="29" t="s">
        <v>25</v>
      </c>
      <c r="I2" s="30">
        <v>41061</v>
      </c>
      <c r="J2" s="32" t="s">
        <v>61</v>
      </c>
      <c r="K2" s="34"/>
    </row>
    <row r="3" spans="1:11" ht="12.75" customHeight="1" x14ac:dyDescent="0.25">
      <c r="A3" s="39" t="s">
        <v>92</v>
      </c>
      <c r="B3" s="40"/>
      <c r="C3" s="40"/>
      <c r="D3" s="41"/>
      <c r="E3" s="42"/>
      <c r="F3" s="38" t="s">
        <v>48</v>
      </c>
      <c r="G3" s="43"/>
      <c r="H3" s="39" t="s">
        <v>92</v>
      </c>
      <c r="I3" s="40"/>
      <c r="J3" s="40"/>
      <c r="K3" s="41"/>
    </row>
    <row r="4" spans="1:11" ht="12.75" customHeight="1" x14ac:dyDescent="0.25">
      <c r="A4" s="45"/>
      <c r="B4" s="46" t="s">
        <v>72</v>
      </c>
      <c r="C4" s="46" t="s">
        <v>7</v>
      </c>
      <c r="D4" s="47" t="s">
        <v>8</v>
      </c>
      <c r="E4" s="48"/>
      <c r="F4" s="115" t="s">
        <v>43</v>
      </c>
      <c r="G4" s="43"/>
      <c r="H4" s="45"/>
      <c r="I4" s="46" t="s">
        <v>72</v>
      </c>
      <c r="J4" s="46" t="s">
        <v>7</v>
      </c>
      <c r="K4" s="47" t="s">
        <v>8</v>
      </c>
    </row>
    <row r="5" spans="1:11" ht="12.75" customHeight="1" x14ac:dyDescent="0.25">
      <c r="A5" s="45" t="s">
        <v>18</v>
      </c>
      <c r="B5" s="116">
        <v>2225</v>
      </c>
      <c r="C5" s="112">
        <f>'Tariff Details'!B8</f>
        <v>5.6645000000000003</v>
      </c>
      <c r="D5" s="105">
        <f>C5*B5</f>
        <v>12603.512500000001</v>
      </c>
      <c r="E5" s="52"/>
      <c r="F5" s="101" t="s">
        <v>46</v>
      </c>
      <c r="G5" s="43"/>
      <c r="H5" s="45" t="s">
        <v>18</v>
      </c>
      <c r="I5" s="116">
        <v>2225</v>
      </c>
      <c r="J5" s="112">
        <f>'Tariff Details'!C8</f>
        <v>6.5960000000000001</v>
      </c>
      <c r="K5" s="105">
        <f>J5*I5</f>
        <v>14676.1</v>
      </c>
    </row>
    <row r="6" spans="1:11" ht="12.75" customHeight="1" x14ac:dyDescent="0.25">
      <c r="A6" s="45" t="s">
        <v>19</v>
      </c>
      <c r="B6" s="117">
        <v>2293</v>
      </c>
      <c r="C6" s="113">
        <f>'Tariff Details'!B9</f>
        <v>4.8127399999999998</v>
      </c>
      <c r="D6" s="106">
        <f>C6*B6</f>
        <v>11035.61282</v>
      </c>
      <c r="E6" s="52"/>
      <c r="F6" s="102" t="s">
        <v>45</v>
      </c>
      <c r="G6" s="43"/>
      <c r="H6" s="45" t="s">
        <v>19</v>
      </c>
      <c r="I6" s="117">
        <v>2293</v>
      </c>
      <c r="J6" s="113">
        <f>'Tariff Details'!C9</f>
        <v>6.5960000000000001</v>
      </c>
      <c r="K6" s="106">
        <f>J6*I6</f>
        <v>15124.628000000001</v>
      </c>
    </row>
    <row r="7" spans="1:11" ht="12.75" customHeight="1" x14ac:dyDescent="0.25">
      <c r="A7" s="45" t="s">
        <v>20</v>
      </c>
      <c r="B7" s="118">
        <v>2264</v>
      </c>
      <c r="C7" s="114">
        <f>'Tariff Details'!B10</f>
        <v>1.9811000000000001</v>
      </c>
      <c r="D7" s="106">
        <f>C7*B7</f>
        <v>4485.2103999999999</v>
      </c>
      <c r="E7" s="52"/>
      <c r="F7" s="59" t="s">
        <v>47</v>
      </c>
      <c r="G7" s="43"/>
      <c r="H7" s="45" t="s">
        <v>20</v>
      </c>
      <c r="I7" s="118">
        <v>2264</v>
      </c>
      <c r="J7" s="114">
        <f>'Tariff Details'!C10</f>
        <v>2.3010000000000002</v>
      </c>
      <c r="K7" s="106">
        <f>J7*I7</f>
        <v>5209.4639999999999</v>
      </c>
    </row>
    <row r="8" spans="1:11" ht="12.75" customHeight="1" x14ac:dyDescent="0.25">
      <c r="A8" s="95" t="s">
        <v>9</v>
      </c>
      <c r="B8" s="96"/>
      <c r="C8" s="96"/>
      <c r="D8" s="107">
        <f>SUM(D5:D7)</f>
        <v>28124.335719999999</v>
      </c>
      <c r="E8" s="58"/>
      <c r="F8" s="99" t="s">
        <v>91</v>
      </c>
      <c r="G8" s="43"/>
      <c r="H8" s="95" t="s">
        <v>9</v>
      </c>
      <c r="I8" s="96"/>
      <c r="J8" s="96"/>
      <c r="K8" s="107">
        <f>SUM(K5:K7)</f>
        <v>35010.192000000003</v>
      </c>
    </row>
    <row r="10" spans="1:11" ht="12.75" customHeight="1" x14ac:dyDescent="0.25">
      <c r="A10" s="94" t="s">
        <v>73</v>
      </c>
      <c r="B10" s="120">
        <v>0.85</v>
      </c>
      <c r="H10" s="94" t="s">
        <v>73</v>
      </c>
      <c r="I10" s="120">
        <f>B10</f>
        <v>0.85</v>
      </c>
    </row>
    <row r="11" spans="1:11" ht="12.75" customHeight="1" x14ac:dyDescent="0.25">
      <c r="A11" s="94" t="s">
        <v>74</v>
      </c>
      <c r="B11" s="121">
        <v>0.88</v>
      </c>
      <c r="H11" s="94" t="s">
        <v>74</v>
      </c>
      <c r="I11" s="121">
        <f>B11</f>
        <v>0.88</v>
      </c>
    </row>
    <row r="12" spans="1:11" ht="12.75" customHeight="1" x14ac:dyDescent="0.25">
      <c r="A12" s="94" t="s">
        <v>75</v>
      </c>
      <c r="B12" s="122">
        <v>0.91</v>
      </c>
      <c r="H12" s="94" t="s">
        <v>75</v>
      </c>
      <c r="I12" s="122">
        <f>B12</f>
        <v>0.91</v>
      </c>
    </row>
    <row r="14" spans="1:11" ht="12.75" customHeight="1" x14ac:dyDescent="0.25">
      <c r="A14" s="94" t="s">
        <v>76</v>
      </c>
      <c r="B14" s="123">
        <f>B5*B10</f>
        <v>1891.25</v>
      </c>
      <c r="H14" s="94" t="s">
        <v>76</v>
      </c>
      <c r="I14" s="123">
        <f>I5*I10</f>
        <v>1891.25</v>
      </c>
    </row>
    <row r="15" spans="1:11" ht="12.75" customHeight="1" x14ac:dyDescent="0.25">
      <c r="A15" s="94" t="s">
        <v>77</v>
      </c>
      <c r="B15" s="124">
        <f>B6*B11</f>
        <v>2017.84</v>
      </c>
      <c r="H15" s="94" t="s">
        <v>77</v>
      </c>
      <c r="I15" s="124">
        <f>I6*I11</f>
        <v>2017.84</v>
      </c>
    </row>
    <row r="16" spans="1:11" ht="12.75" customHeight="1" x14ac:dyDescent="0.25">
      <c r="A16" s="94" t="s">
        <v>78</v>
      </c>
      <c r="B16" s="125">
        <f>B7*B12</f>
        <v>2060.2400000000002</v>
      </c>
      <c r="H16" s="94" t="s">
        <v>78</v>
      </c>
      <c r="I16" s="125">
        <f>I7*I12</f>
        <v>2060.2400000000002</v>
      </c>
    </row>
    <row r="18" spans="1:11" ht="12.75" customHeight="1" x14ac:dyDescent="0.25">
      <c r="A18" s="94" t="s">
        <v>79</v>
      </c>
      <c r="B18" s="126">
        <f>SQRT(B5^2-B14^2)</f>
        <v>1172.0914800048672</v>
      </c>
      <c r="H18" s="94" t="s">
        <v>79</v>
      </c>
      <c r="I18" s="126">
        <f>SQRT(I5^2-I14^2)</f>
        <v>1172.0914800048672</v>
      </c>
    </row>
    <row r="19" spans="1:11" ht="12.75" customHeight="1" x14ac:dyDescent="0.25">
      <c r="A19" s="94" t="s">
        <v>83</v>
      </c>
      <c r="B19" s="127">
        <f>SQRT(B6^2-B15^2)</f>
        <v>1089.1146562231179</v>
      </c>
      <c r="H19" s="94" t="s">
        <v>83</v>
      </c>
      <c r="I19" s="127">
        <f>SQRT(I6^2-I15^2)</f>
        <v>1089.1146562231179</v>
      </c>
    </row>
    <row r="20" spans="1:11" ht="12.75" customHeight="1" x14ac:dyDescent="0.25">
      <c r="A20" s="94" t="s">
        <v>82</v>
      </c>
      <c r="B20" s="128">
        <f>SQRT(B7^2-B16^2)</f>
        <v>938.67307535691009</v>
      </c>
      <c r="H20" s="94" t="s">
        <v>82</v>
      </c>
      <c r="I20" s="128">
        <f>SQRT(I7^2-I16^2)</f>
        <v>938.67307535691009</v>
      </c>
    </row>
    <row r="22" spans="1:11" ht="12.75" customHeight="1" x14ac:dyDescent="0.25">
      <c r="A22" s="94" t="s">
        <v>84</v>
      </c>
      <c r="B22" s="100">
        <v>700</v>
      </c>
      <c r="C22" s="104">
        <v>90</v>
      </c>
      <c r="D22" s="108">
        <f>B22*C22</f>
        <v>63000</v>
      </c>
      <c r="H22" s="94" t="s">
        <v>84</v>
      </c>
      <c r="I22" s="100">
        <f>B22</f>
        <v>700</v>
      </c>
      <c r="J22" s="104">
        <f>C22</f>
        <v>90</v>
      </c>
      <c r="K22" s="108">
        <f>I22*J22</f>
        <v>63000</v>
      </c>
    </row>
    <row r="23" spans="1:11" ht="12.75" customHeight="1" x14ac:dyDescent="0.25">
      <c r="I23" s="138"/>
    </row>
    <row r="24" spans="1:11" ht="12.75" customHeight="1" x14ac:dyDescent="0.25">
      <c r="A24" s="94" t="s">
        <v>85</v>
      </c>
      <c r="B24" s="129">
        <f>B14/(SQRT(B14^2+(B18-$B$22)^2))</f>
        <v>0.97022947067157861</v>
      </c>
      <c r="C24" s="97"/>
      <c r="H24" s="94" t="s">
        <v>85</v>
      </c>
      <c r="I24" s="129">
        <f>I14/(SQRT(I14^2+(I18-$I$22)^2))</f>
        <v>0.97022947067157861</v>
      </c>
      <c r="J24" s="97"/>
    </row>
    <row r="25" spans="1:11" ht="12.75" customHeight="1" x14ac:dyDescent="0.25">
      <c r="A25" s="94" t="s">
        <v>86</v>
      </c>
      <c r="B25" s="130">
        <f>B15/(SQRT(B15^2+(B19-$B$22)^2))</f>
        <v>0.98190989484194158</v>
      </c>
      <c r="C25" s="97"/>
      <c r="H25" s="94" t="s">
        <v>86</v>
      </c>
      <c r="I25" s="130">
        <f>I15/(SQRT(I15^2+(I19-$I$22)^2))</f>
        <v>0.98190989484194158</v>
      </c>
      <c r="J25" s="97"/>
    </row>
    <row r="26" spans="1:11" ht="12.75" customHeight="1" x14ac:dyDescent="0.25">
      <c r="A26" s="94" t="s">
        <v>87</v>
      </c>
      <c r="B26" s="131">
        <f>B16/(SQRT(B16^2+(B20-$B$22)^2))</f>
        <v>0.99335650623310523</v>
      </c>
      <c r="H26" s="94" t="s">
        <v>87</v>
      </c>
      <c r="I26" s="131">
        <f>I16/(SQRT(I16^2+(I20-$I$22)^2))</f>
        <v>0.99335650623310523</v>
      </c>
    </row>
    <row r="27" spans="1:11" ht="12.75" customHeight="1" x14ac:dyDescent="0.25">
      <c r="C27" s="98"/>
      <c r="J27" s="98"/>
    </row>
    <row r="28" spans="1:11" ht="12.75" customHeight="1" x14ac:dyDescent="0.25">
      <c r="A28" s="94" t="s">
        <v>80</v>
      </c>
      <c r="B28" s="123">
        <f>B14/B24</f>
        <v>1949.2811310822217</v>
      </c>
      <c r="C28" s="132">
        <f>C5</f>
        <v>5.6645000000000003</v>
      </c>
      <c r="D28" s="119">
        <f>C28*B28</f>
        <v>11041.702967015246</v>
      </c>
      <c r="H28" s="94" t="s">
        <v>80</v>
      </c>
      <c r="I28" s="135">
        <f>I14/I24</f>
        <v>1949.2811310822217</v>
      </c>
      <c r="J28" s="132">
        <f>J5</f>
        <v>6.5960000000000001</v>
      </c>
      <c r="K28" s="119">
        <f>J28*I28</f>
        <v>12857.458340618334</v>
      </c>
    </row>
    <row r="29" spans="1:11" ht="12.75" customHeight="1" x14ac:dyDescent="0.25">
      <c r="A29" s="94" t="s">
        <v>80</v>
      </c>
      <c r="B29" s="124">
        <f>B15/B25</f>
        <v>2055.0154455107231</v>
      </c>
      <c r="C29" s="133">
        <f>C6</f>
        <v>4.8127399999999998</v>
      </c>
      <c r="D29" s="103">
        <f>C29*B29</f>
        <v>9890.2550352272774</v>
      </c>
      <c r="H29" s="94" t="s">
        <v>80</v>
      </c>
      <c r="I29" s="136">
        <f>I15/I25</f>
        <v>2055.0154455107231</v>
      </c>
      <c r="J29" s="133">
        <f>J6</f>
        <v>6.5960000000000001</v>
      </c>
      <c r="K29" s="103">
        <f>J29*I29</f>
        <v>13554.881878588731</v>
      </c>
    </row>
    <row r="30" spans="1:11" ht="12.75" customHeight="1" x14ac:dyDescent="0.25">
      <c r="A30" s="94" t="s">
        <v>81</v>
      </c>
      <c r="B30" s="125">
        <f>B16/B26</f>
        <v>2074.0187305085569</v>
      </c>
      <c r="C30" s="134">
        <f>C7</f>
        <v>1.9811000000000001</v>
      </c>
      <c r="D30" s="103">
        <f>C30*B30</f>
        <v>4108.8385070105023</v>
      </c>
      <c r="H30" s="94" t="s">
        <v>81</v>
      </c>
      <c r="I30" s="137">
        <f>I16/I26</f>
        <v>2074.0187305085569</v>
      </c>
      <c r="J30" s="134">
        <f>J7</f>
        <v>2.3010000000000002</v>
      </c>
      <c r="K30" s="103">
        <f>J30*I30</f>
        <v>4772.3170989001901</v>
      </c>
    </row>
    <row r="31" spans="1:11" ht="12.75" customHeight="1" x14ac:dyDescent="0.25">
      <c r="D31" s="107">
        <f>SUM(D28:D30)</f>
        <v>25040.796509253025</v>
      </c>
      <c r="K31" s="107">
        <f>SUM(K28:K30)</f>
        <v>31184.657318107253</v>
      </c>
    </row>
    <row r="33" spans="1:11" ht="12.75" customHeight="1" x14ac:dyDescent="0.25">
      <c r="A33" s="94" t="s">
        <v>88</v>
      </c>
      <c r="D33" s="109">
        <f>D8-D31</f>
        <v>3083.5392107469743</v>
      </c>
      <c r="H33" s="94" t="s">
        <v>88</v>
      </c>
      <c r="K33" s="109">
        <f>K8-K31</f>
        <v>3825.5346818927501</v>
      </c>
    </row>
    <row r="34" spans="1:11" ht="12.75" customHeight="1" x14ac:dyDescent="0.25">
      <c r="A34" s="94" t="s">
        <v>89</v>
      </c>
      <c r="D34" s="110">
        <f>D33*12</f>
        <v>37002.470528963691</v>
      </c>
      <c r="H34" s="94" t="s">
        <v>89</v>
      </c>
      <c r="K34" s="110">
        <f>K33*12</f>
        <v>45906.416182713001</v>
      </c>
    </row>
    <row r="35" spans="1:11" ht="12.75" customHeight="1" x14ac:dyDescent="0.25">
      <c r="A35" s="94" t="s">
        <v>90</v>
      </c>
      <c r="D35" s="111">
        <f>D22/D34*12</f>
        <v>20.431068228491412</v>
      </c>
      <c r="H35" s="94" t="s">
        <v>90</v>
      </c>
      <c r="K35" s="111">
        <f>K22/K34*12</f>
        <v>16.46828619753348</v>
      </c>
    </row>
  </sheetData>
  <mergeCells count="1">
    <mergeCell ref="A1:K1"/>
  </mergeCells>
  <pageMargins left="0.70866141732283472" right="0.70866141732283472" top="0.74803149606299213" bottom="0.74803149606299213" header="0.31496062992125984" footer="0.31496062992125984"/>
  <pageSetup paperSize="9" orientation="portrait" r:id="rId1"/>
  <headerFooter>
    <oddHeader>&amp;R&amp;G</oddHeader>
    <oddFooter xml:space="preserve">&amp;L&amp;G&amp;C&amp;"Arial,Regular"&amp;8&amp;A&amp;R&amp;"Arial,Regular"&amp;7© Energetics Pty Ltd 2010&amp;8         Page &amp;P  </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Notes</vt:lpstr>
      <vt:lpstr>Tariff Details</vt:lpstr>
      <vt:lpstr>Tariff Comparison</vt:lpstr>
      <vt:lpstr>Power Factor Analysis</vt:lpstr>
    </vt:vector>
  </TitlesOfParts>
  <Company>Energetics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Dwyer</dc:creator>
  <cp:lastModifiedBy>Celeste</cp:lastModifiedBy>
  <cp:lastPrinted>2010-06-22T02:46:44Z</cp:lastPrinted>
  <dcterms:created xsi:type="dcterms:W3CDTF">2006-07-14T01:29:22Z</dcterms:created>
  <dcterms:modified xsi:type="dcterms:W3CDTF">2013-06-18T06:57:49Z</dcterms:modified>
</cp:coreProperties>
</file>